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390" windowWidth="19155" windowHeight="7095"/>
  </bookViews>
  <sheets>
    <sheet name="summary" sheetId="1" r:id="rId1"/>
  </sheets>
  <externalReferences>
    <externalReference r:id="rId2"/>
    <externalReference r:id="rId3"/>
    <externalReference r:id="rId4"/>
  </externalReferences>
  <definedNames>
    <definedName name="EV__LASTREFTIME__" hidden="1">42025.7204398148</definedName>
  </definedNames>
  <calcPr calcId="145621"/>
</workbook>
</file>

<file path=xl/calcChain.xml><?xml version="1.0" encoding="utf-8"?>
<calcChain xmlns="http://schemas.openxmlformats.org/spreadsheetml/2006/main">
  <c r="B131" i="1" l="1"/>
  <c r="C131" i="1"/>
  <c r="D131" i="1"/>
  <c r="E131" i="1"/>
  <c r="F131" i="1"/>
  <c r="G131" i="1"/>
  <c r="H131" i="1"/>
  <c r="B132" i="1"/>
  <c r="C132" i="1"/>
  <c r="D132" i="1"/>
  <c r="E132" i="1"/>
  <c r="F132" i="1"/>
  <c r="G132" i="1"/>
  <c r="H132" i="1"/>
  <c r="B133" i="1"/>
  <c r="C133" i="1"/>
  <c r="D133" i="1"/>
  <c r="E133" i="1"/>
  <c r="F133" i="1"/>
  <c r="G133" i="1"/>
  <c r="H133" i="1"/>
  <c r="B134" i="1"/>
  <c r="C134" i="1"/>
  <c r="D134" i="1"/>
  <c r="E134" i="1"/>
  <c r="F134" i="1"/>
  <c r="G134" i="1"/>
  <c r="H134" i="1"/>
  <c r="R121" i="1" l="1"/>
  <c r="H121" i="1" s="1"/>
  <c r="Q121" i="1"/>
  <c r="G121" i="1" s="1"/>
  <c r="O121" i="1"/>
  <c r="E121" i="1" s="1"/>
  <c r="N121" i="1"/>
  <c r="D121" i="1" s="1"/>
  <c r="M121" i="1"/>
  <c r="L121" i="1"/>
  <c r="L122" i="1" s="1"/>
  <c r="R120" i="1"/>
  <c r="H120" i="1" s="1"/>
  <c r="Q120" i="1"/>
  <c r="O120" i="1"/>
  <c r="N120" i="1"/>
  <c r="M120" i="1"/>
  <c r="L120" i="1"/>
  <c r="R119" i="1"/>
  <c r="Q119" i="1"/>
  <c r="O119" i="1"/>
  <c r="N119" i="1"/>
  <c r="D119" i="1" s="1"/>
  <c r="M119" i="1"/>
  <c r="L119" i="1"/>
  <c r="F121" i="1"/>
  <c r="C121" i="1"/>
  <c r="F120" i="1"/>
  <c r="F122" i="1" s="1"/>
  <c r="E120" i="1"/>
  <c r="D120" i="1"/>
  <c r="C120" i="1"/>
  <c r="B120" i="1"/>
  <c r="H119" i="1"/>
  <c r="G119" i="1"/>
  <c r="F119" i="1"/>
  <c r="E119" i="1"/>
  <c r="B119" i="1"/>
  <c r="P122" i="1"/>
  <c r="N122" i="1"/>
  <c r="R122" i="1"/>
  <c r="S121" i="1" l="1"/>
  <c r="Q122" i="1"/>
  <c r="O122" i="1"/>
  <c r="B121" i="1"/>
  <c r="I121" i="1" s="1"/>
  <c r="G120" i="1"/>
  <c r="I120" i="1" s="1"/>
  <c r="E122" i="1"/>
  <c r="S119" i="1"/>
  <c r="M122" i="1"/>
  <c r="C119" i="1"/>
  <c r="C122" i="1" s="1"/>
  <c r="I119" i="1"/>
  <c r="D122" i="1"/>
  <c r="G122" i="1"/>
  <c r="S120" i="1"/>
  <c r="H122" i="1"/>
  <c r="R113" i="1"/>
  <c r="Q113" i="1"/>
  <c r="O113" i="1"/>
  <c r="N113" i="1"/>
  <c r="M113" i="1"/>
  <c r="L113" i="1"/>
  <c r="R112" i="1"/>
  <c r="Q112" i="1"/>
  <c r="O112" i="1"/>
  <c r="N112" i="1"/>
  <c r="M112" i="1"/>
  <c r="L112" i="1"/>
  <c r="M111" i="1"/>
  <c r="R111" i="1"/>
  <c r="Q111" i="1"/>
  <c r="O111" i="1"/>
  <c r="N111" i="1"/>
  <c r="L111" i="1"/>
  <c r="B122" i="1" l="1"/>
  <c r="I122" i="1" s="1"/>
  <c r="S122" i="1"/>
  <c r="F113" i="1"/>
  <c r="F112" i="1"/>
  <c r="F111" i="1"/>
  <c r="P114" i="1"/>
  <c r="O114" i="1"/>
  <c r="N114" i="1"/>
  <c r="G112" i="1" l="1"/>
  <c r="B112" i="1"/>
  <c r="G113" i="1"/>
  <c r="S113" i="1"/>
  <c r="S111" i="1"/>
  <c r="Q114" i="1"/>
  <c r="E111" i="1"/>
  <c r="F114" i="1"/>
  <c r="S112" i="1"/>
  <c r="D111" i="1"/>
  <c r="M114" i="1"/>
  <c r="R114" i="1"/>
  <c r="L114" i="1"/>
  <c r="R103" i="1"/>
  <c r="H113" i="1" s="1"/>
  <c r="R102" i="1"/>
  <c r="H112" i="1" s="1"/>
  <c r="R101" i="1"/>
  <c r="H111" i="1" s="1"/>
  <c r="Q103" i="1"/>
  <c r="Q102" i="1"/>
  <c r="Q101" i="1"/>
  <c r="G111" i="1" s="1"/>
  <c r="O103" i="1"/>
  <c r="E113" i="1" s="1"/>
  <c r="O102" i="1"/>
  <c r="E112" i="1" s="1"/>
  <c r="O101" i="1"/>
  <c r="N103" i="1"/>
  <c r="D113" i="1" s="1"/>
  <c r="N102" i="1"/>
  <c r="D112" i="1" s="1"/>
  <c r="N101" i="1"/>
  <c r="M103" i="1"/>
  <c r="C113" i="1" s="1"/>
  <c r="M102" i="1"/>
  <c r="C112" i="1" s="1"/>
  <c r="M101" i="1"/>
  <c r="C111" i="1" s="1"/>
  <c r="L103" i="1"/>
  <c r="B113" i="1" s="1"/>
  <c r="L102" i="1"/>
  <c r="L101" i="1"/>
  <c r="B101" i="1" s="1"/>
  <c r="P104" i="1"/>
  <c r="F103" i="1"/>
  <c r="F102" i="1"/>
  <c r="R94" i="1"/>
  <c r="M93" i="1"/>
  <c r="O104" i="1"/>
  <c r="Q104" i="1"/>
  <c r="S102" i="1"/>
  <c r="L104" i="1"/>
  <c r="F95" i="1"/>
  <c r="R95" i="1"/>
  <c r="H103" i="1" s="1"/>
  <c r="Q95" i="1"/>
  <c r="G103" i="1"/>
  <c r="O95" i="1"/>
  <c r="N95" i="1"/>
  <c r="D103" i="1"/>
  <c r="M95" i="1"/>
  <c r="C103" i="1" s="1"/>
  <c r="L95" i="1"/>
  <c r="B103" i="1"/>
  <c r="Q94" i="1"/>
  <c r="G102" i="1" s="1"/>
  <c r="O94" i="1"/>
  <c r="E102" i="1"/>
  <c r="N94" i="1"/>
  <c r="M94" i="1"/>
  <c r="C102" i="1"/>
  <c r="L94" i="1"/>
  <c r="B102" i="1" s="1"/>
  <c r="R93" i="1"/>
  <c r="R96" i="1" s="1"/>
  <c r="H101" i="1"/>
  <c r="Q93" i="1"/>
  <c r="F93" i="1"/>
  <c r="O93" i="1"/>
  <c r="E101" i="1" s="1"/>
  <c r="N93" i="1"/>
  <c r="D101" i="1"/>
  <c r="L93" i="1"/>
  <c r="L96" i="1" s="1"/>
  <c r="F94" i="1"/>
  <c r="N96" i="1"/>
  <c r="M96" i="1"/>
  <c r="Q96" i="1"/>
  <c r="P96" i="1"/>
  <c r="R87" i="1"/>
  <c r="R79" i="1"/>
  <c r="H93" i="1" s="1"/>
  <c r="Q87" i="1"/>
  <c r="Q86" i="1"/>
  <c r="G95" i="1"/>
  <c r="P87" i="1"/>
  <c r="F101" i="1" s="1"/>
  <c r="F104" i="1" s="1"/>
  <c r="O87" i="1"/>
  <c r="O79" i="1"/>
  <c r="N87" i="1"/>
  <c r="N86" i="1"/>
  <c r="D86" i="1" s="1"/>
  <c r="M87" i="1"/>
  <c r="M79" i="1"/>
  <c r="C93" i="1" s="1"/>
  <c r="L87" i="1"/>
  <c r="L80" i="1"/>
  <c r="B80" i="1" s="1"/>
  <c r="O86" i="1"/>
  <c r="E95" i="1" s="1"/>
  <c r="F86" i="1"/>
  <c r="S85" i="1"/>
  <c r="H85" i="1"/>
  <c r="G85" i="1"/>
  <c r="F85" i="1"/>
  <c r="E85" i="1"/>
  <c r="D85" i="1"/>
  <c r="C85" i="1"/>
  <c r="B85" i="1"/>
  <c r="S84" i="1"/>
  <c r="H84" i="1"/>
  <c r="G84" i="1"/>
  <c r="F84" i="1"/>
  <c r="E84" i="1"/>
  <c r="D84" i="1"/>
  <c r="I84" i="1" s="1"/>
  <c r="C84" i="1"/>
  <c r="B84" i="1"/>
  <c r="S83" i="1"/>
  <c r="H83" i="1"/>
  <c r="G83" i="1"/>
  <c r="F83" i="1"/>
  <c r="E83" i="1"/>
  <c r="D83" i="1"/>
  <c r="C83" i="1"/>
  <c r="B83" i="1"/>
  <c r="S82" i="1"/>
  <c r="H82" i="1"/>
  <c r="G82" i="1"/>
  <c r="F82" i="1"/>
  <c r="E82" i="1"/>
  <c r="D82" i="1"/>
  <c r="C82" i="1"/>
  <c r="B82" i="1"/>
  <c r="S81" i="1"/>
  <c r="H81" i="1"/>
  <c r="G81" i="1"/>
  <c r="F81" i="1"/>
  <c r="E81" i="1"/>
  <c r="D81" i="1"/>
  <c r="C81" i="1"/>
  <c r="B81" i="1"/>
  <c r="R80" i="1"/>
  <c r="H80" i="1" s="1"/>
  <c r="M80" i="1"/>
  <c r="C80" i="1" s="1"/>
  <c r="F80" i="1"/>
  <c r="Q79" i="1"/>
  <c r="G93" i="1" s="1"/>
  <c r="L79" i="1"/>
  <c r="F79" i="1"/>
  <c r="F87" i="1" s="1"/>
  <c r="H78" i="1"/>
  <c r="G78" i="1"/>
  <c r="F78" i="1"/>
  <c r="E78" i="1"/>
  <c r="D78" i="1"/>
  <c r="C78" i="1"/>
  <c r="B78" i="1"/>
  <c r="P72" i="1"/>
  <c r="N72" i="1"/>
  <c r="L72" i="1"/>
  <c r="R71" i="1"/>
  <c r="Q71" i="1"/>
  <c r="O71" i="1"/>
  <c r="M71" i="1"/>
  <c r="F71" i="1"/>
  <c r="S70" i="1"/>
  <c r="H70" i="1"/>
  <c r="G70" i="1"/>
  <c r="F70" i="1"/>
  <c r="E70" i="1"/>
  <c r="I70" i="1" s="1"/>
  <c r="D70" i="1"/>
  <c r="C70" i="1"/>
  <c r="B70" i="1"/>
  <c r="S69" i="1"/>
  <c r="H69" i="1"/>
  <c r="G69" i="1"/>
  <c r="F69" i="1"/>
  <c r="E69" i="1"/>
  <c r="D69" i="1"/>
  <c r="C69" i="1"/>
  <c r="B69" i="1"/>
  <c r="S68" i="1"/>
  <c r="H68" i="1"/>
  <c r="G68" i="1"/>
  <c r="F68" i="1"/>
  <c r="E68" i="1"/>
  <c r="D68" i="1"/>
  <c r="C68" i="1"/>
  <c r="B68" i="1"/>
  <c r="S67" i="1"/>
  <c r="H67" i="1"/>
  <c r="G67" i="1"/>
  <c r="F67" i="1"/>
  <c r="E67" i="1"/>
  <c r="D67" i="1"/>
  <c r="C67" i="1"/>
  <c r="B67" i="1"/>
  <c r="I67" i="1" s="1"/>
  <c r="S66" i="1"/>
  <c r="H66" i="1"/>
  <c r="G66" i="1"/>
  <c r="F66" i="1"/>
  <c r="E66" i="1"/>
  <c r="E72" i="1" s="1"/>
  <c r="D66" i="1"/>
  <c r="C66" i="1"/>
  <c r="B66" i="1"/>
  <c r="I66" i="1" s="1"/>
  <c r="R65" i="1"/>
  <c r="Q65" i="1"/>
  <c r="O65" i="1"/>
  <c r="M65" i="1"/>
  <c r="F65" i="1"/>
  <c r="F72" i="1" s="1"/>
  <c r="R64" i="1"/>
  <c r="Q64" i="1"/>
  <c r="O64" i="1"/>
  <c r="M64" i="1"/>
  <c r="F64" i="1"/>
  <c r="H63" i="1"/>
  <c r="G63" i="1"/>
  <c r="F63" i="1"/>
  <c r="E63" i="1"/>
  <c r="D63" i="1"/>
  <c r="C63" i="1"/>
  <c r="B63" i="1"/>
  <c r="P56" i="1"/>
  <c r="R55" i="1"/>
  <c r="H55" i="1"/>
  <c r="Q55" i="1"/>
  <c r="O55" i="1"/>
  <c r="N55" i="1"/>
  <c r="D71" i="1"/>
  <c r="M55" i="1"/>
  <c r="C55" i="1"/>
  <c r="L55" i="1"/>
  <c r="G55" i="1"/>
  <c r="F55" i="1"/>
  <c r="S54" i="1"/>
  <c r="I54" i="1"/>
  <c r="S53" i="1"/>
  <c r="I53" i="1"/>
  <c r="S52" i="1"/>
  <c r="I52" i="1"/>
  <c r="S51" i="1"/>
  <c r="I51" i="1"/>
  <c r="S50" i="1"/>
  <c r="I50" i="1"/>
  <c r="R49" i="1"/>
  <c r="Q49" i="1"/>
  <c r="O49" i="1"/>
  <c r="E49" i="1"/>
  <c r="N49" i="1"/>
  <c r="M49" i="1"/>
  <c r="L49" i="1"/>
  <c r="B65" i="1"/>
  <c r="G49" i="1"/>
  <c r="F49" i="1"/>
  <c r="F56" i="1" s="1"/>
  <c r="B49" i="1"/>
  <c r="R48" i="1"/>
  <c r="H48" i="1"/>
  <c r="H56" i="1" s="1"/>
  <c r="Q48" i="1"/>
  <c r="O48" i="1"/>
  <c r="O56" i="1"/>
  <c r="N48" i="1"/>
  <c r="D64" i="1"/>
  <c r="D72" i="1" s="1"/>
  <c r="M48" i="1"/>
  <c r="L48" i="1"/>
  <c r="B64" i="1"/>
  <c r="I64" i="1" s="1"/>
  <c r="G48" i="1"/>
  <c r="G56" i="1" s="1"/>
  <c r="F48" i="1"/>
  <c r="C48" i="1"/>
  <c r="B48" i="1"/>
  <c r="I48" i="1" s="1"/>
  <c r="H47" i="1"/>
  <c r="G47" i="1"/>
  <c r="F47" i="1"/>
  <c r="E47" i="1"/>
  <c r="D47" i="1"/>
  <c r="C47" i="1"/>
  <c r="B47" i="1"/>
  <c r="R42" i="1"/>
  <c r="Q42" i="1"/>
  <c r="P42" i="1"/>
  <c r="O42" i="1"/>
  <c r="N42" i="1"/>
  <c r="M42" i="1"/>
  <c r="S42" i="1" s="1"/>
  <c r="L42" i="1"/>
  <c r="H42" i="1"/>
  <c r="G42" i="1"/>
  <c r="F42" i="1"/>
  <c r="E42" i="1"/>
  <c r="D42" i="1"/>
  <c r="C42" i="1"/>
  <c r="B42" i="1"/>
  <c r="S27" i="1"/>
  <c r="I27" i="1"/>
  <c r="S26" i="1"/>
  <c r="I26" i="1"/>
  <c r="S25" i="1"/>
  <c r="I25" i="1"/>
  <c r="S24" i="1"/>
  <c r="I24" i="1"/>
  <c r="S23" i="1"/>
  <c r="I23" i="1"/>
  <c r="S22" i="1"/>
  <c r="I22" i="1"/>
  <c r="S21" i="1"/>
  <c r="I21" i="1"/>
  <c r="S20" i="1"/>
  <c r="I20" i="1"/>
  <c r="S19" i="1"/>
  <c r="I19" i="1"/>
  <c r="H13" i="1"/>
  <c r="G13" i="1"/>
  <c r="F13" i="1"/>
  <c r="E13" i="1"/>
  <c r="D13" i="1"/>
  <c r="C13" i="1"/>
  <c r="I13" i="1" s="1"/>
  <c r="B13" i="1"/>
  <c r="I12" i="1"/>
  <c r="I11" i="1"/>
  <c r="I10" i="1"/>
  <c r="I9" i="1"/>
  <c r="I8" i="1"/>
  <c r="I7" i="1"/>
  <c r="I6" i="1"/>
  <c r="I5" i="1"/>
  <c r="B79" i="1"/>
  <c r="D55" i="1"/>
  <c r="G86" i="1"/>
  <c r="E79" i="1"/>
  <c r="O80" i="1"/>
  <c r="E80" i="1" s="1"/>
  <c r="C65" i="1"/>
  <c r="H65" i="1"/>
  <c r="R72" i="1"/>
  <c r="G65" i="1"/>
  <c r="E86" i="1"/>
  <c r="G79" i="1"/>
  <c r="G87" i="1" s="1"/>
  <c r="L86" i="1"/>
  <c r="B86" i="1" s="1"/>
  <c r="E71" i="1"/>
  <c r="M86" i="1"/>
  <c r="C71" i="1"/>
  <c r="C72" i="1" s="1"/>
  <c r="I72" i="1" s="1"/>
  <c r="S55" i="1"/>
  <c r="G71" i="1"/>
  <c r="C49" i="1"/>
  <c r="S49" i="1"/>
  <c r="D48" i="1"/>
  <c r="Q56" i="1"/>
  <c r="D49" i="1"/>
  <c r="D56" i="1" s="1"/>
  <c r="H49" i="1"/>
  <c r="E48" i="1"/>
  <c r="E56" i="1" s="1"/>
  <c r="M56" i="1"/>
  <c r="B55" i="1"/>
  <c r="E64" i="1"/>
  <c r="Q72" i="1"/>
  <c r="S65" i="1"/>
  <c r="B71" i="1"/>
  <c r="B72" i="1"/>
  <c r="O72" i="1"/>
  <c r="Q80" i="1"/>
  <c r="E65" i="1"/>
  <c r="I69" i="1"/>
  <c r="H71" i="1"/>
  <c r="E55" i="1"/>
  <c r="I42" i="1"/>
  <c r="I68" i="1"/>
  <c r="N56" i="1"/>
  <c r="D65" i="1"/>
  <c r="S71" i="1"/>
  <c r="L56" i="1"/>
  <c r="C64" i="1"/>
  <c r="G64" i="1"/>
  <c r="G72" i="1" s="1"/>
  <c r="M72" i="1"/>
  <c r="N79" i="1"/>
  <c r="D93" i="1" s="1"/>
  <c r="H64" i="1"/>
  <c r="H72" i="1" s="1"/>
  <c r="R56" i="1"/>
  <c r="R86" i="1"/>
  <c r="H95" i="1" s="1"/>
  <c r="S48" i="1"/>
  <c r="S64" i="1"/>
  <c r="N80" i="1"/>
  <c r="D80" i="1" s="1"/>
  <c r="H86" i="1"/>
  <c r="C86" i="1"/>
  <c r="I49" i="1"/>
  <c r="G80" i="1"/>
  <c r="G94" i="1"/>
  <c r="I55" i="1"/>
  <c r="C56" i="1"/>
  <c r="I71" i="1"/>
  <c r="S72" i="1"/>
  <c r="S56" i="1"/>
  <c r="E94" i="1" l="1"/>
  <c r="I65" i="1"/>
  <c r="I86" i="1"/>
  <c r="S87" i="1"/>
  <c r="E87" i="1"/>
  <c r="D95" i="1"/>
  <c r="I81" i="1"/>
  <c r="C94" i="1"/>
  <c r="B56" i="1"/>
  <c r="I56" i="1" s="1"/>
  <c r="S86" i="1"/>
  <c r="G96" i="1"/>
  <c r="I82" i="1"/>
  <c r="I83" i="1"/>
  <c r="I85" i="1"/>
  <c r="S80" i="1"/>
  <c r="C79" i="1"/>
  <c r="C87" i="1" s="1"/>
  <c r="F96" i="1"/>
  <c r="I80" i="1"/>
  <c r="B87" i="1"/>
  <c r="H79" i="1"/>
  <c r="H87" i="1" s="1"/>
  <c r="H94" i="1"/>
  <c r="S79" i="1"/>
  <c r="D94" i="1"/>
  <c r="I94" i="1" s="1"/>
  <c r="C95" i="1"/>
  <c r="C96" i="1" s="1"/>
  <c r="B94" i="1"/>
  <c r="D79" i="1"/>
  <c r="B95" i="1"/>
  <c r="I95" i="1" s="1"/>
  <c r="G114" i="1"/>
  <c r="I112" i="1"/>
  <c r="S114" i="1"/>
  <c r="B104" i="1"/>
  <c r="H96" i="1"/>
  <c r="C114" i="1"/>
  <c r="H114" i="1"/>
  <c r="D114" i="1"/>
  <c r="S95" i="1"/>
  <c r="O96" i="1"/>
  <c r="G101" i="1"/>
  <c r="G104" i="1" s="1"/>
  <c r="D102" i="1"/>
  <c r="I102" i="1" s="1"/>
  <c r="E103" i="1"/>
  <c r="I103" i="1" s="1"/>
  <c r="M104" i="1"/>
  <c r="S101" i="1"/>
  <c r="S104" i="1" s="1"/>
  <c r="B111" i="1"/>
  <c r="B114" i="1" s="1"/>
  <c r="E114" i="1"/>
  <c r="S94" i="1"/>
  <c r="C101" i="1"/>
  <c r="C104" i="1" s="1"/>
  <c r="N104" i="1"/>
  <c r="B93" i="1"/>
  <c r="E93" i="1"/>
  <c r="E96" i="1" s="1"/>
  <c r="S93" i="1"/>
  <c r="S96" i="1" s="1"/>
  <c r="R104" i="1"/>
  <c r="S103" i="1"/>
  <c r="H102" i="1"/>
  <c r="H104" i="1" s="1"/>
  <c r="I113" i="1"/>
  <c r="E104" i="1" l="1"/>
  <c r="I79" i="1"/>
  <c r="D87" i="1"/>
  <c r="I87" i="1" s="1"/>
  <c r="D96" i="1"/>
  <c r="I114" i="1"/>
  <c r="D104" i="1"/>
  <c r="I111" i="1"/>
  <c r="I93" i="1"/>
  <c r="B96" i="1"/>
  <c r="I96" i="1" s="1"/>
  <c r="I101" i="1"/>
  <c r="I104" i="1" l="1"/>
</calcChain>
</file>

<file path=xl/sharedStrings.xml><?xml version="1.0" encoding="utf-8"?>
<sst xmlns="http://schemas.openxmlformats.org/spreadsheetml/2006/main" count="361" uniqueCount="60">
  <si>
    <t>Jan</t>
    <phoneticPr fontId="4" type="noConversion"/>
  </si>
  <si>
    <t>Account</t>
    <phoneticPr fontId="4" type="noConversion"/>
  </si>
  <si>
    <t>Legacy company</t>
    <phoneticPr fontId="4" type="noConversion"/>
  </si>
  <si>
    <t>Acquired Company</t>
    <phoneticPr fontId="4" type="noConversion"/>
  </si>
  <si>
    <t>Total recharge</t>
    <phoneticPr fontId="4" type="noConversion"/>
  </si>
  <si>
    <t>Carat</t>
  </si>
  <si>
    <t>Clarity</t>
  </si>
  <si>
    <t>Isobar</t>
  </si>
  <si>
    <t>iProspect</t>
  </si>
  <si>
    <t>OMP</t>
  </si>
  <si>
    <t>CS</t>
    <phoneticPr fontId="4" type="noConversion"/>
  </si>
  <si>
    <t>Vizeum</t>
  </si>
  <si>
    <t>Direct staff cost</t>
  </si>
  <si>
    <t>Admin Staff Cost</t>
  </si>
  <si>
    <t>Other Staff cost</t>
  </si>
  <si>
    <t>T&amp;E</t>
  </si>
  <si>
    <t>Premises</t>
  </si>
  <si>
    <t>IT</t>
  </si>
  <si>
    <t>Bad debts &amp; Credit insurance</t>
  </si>
  <si>
    <t>Other admin cost</t>
  </si>
  <si>
    <t>Total Cost</t>
    <phoneticPr fontId="4" type="noConversion"/>
  </si>
  <si>
    <t>Feb</t>
    <phoneticPr fontId="4" type="noConversion"/>
  </si>
  <si>
    <t>YTD Feb</t>
    <phoneticPr fontId="4" type="noConversion"/>
  </si>
  <si>
    <t>Account</t>
    <phoneticPr fontId="4" type="noConversion"/>
  </si>
  <si>
    <t>Legacy company</t>
    <phoneticPr fontId="4" type="noConversion"/>
  </si>
  <si>
    <t>CS</t>
    <phoneticPr fontId="4" type="noConversion"/>
  </si>
  <si>
    <t>Total Cost</t>
  </si>
  <si>
    <t>Mar</t>
    <phoneticPr fontId="4" type="noConversion"/>
  </si>
  <si>
    <t>YTD Mar</t>
    <phoneticPr fontId="4" type="noConversion"/>
  </si>
  <si>
    <t>Account</t>
    <phoneticPr fontId="4" type="noConversion"/>
  </si>
  <si>
    <t>Legacy company</t>
    <phoneticPr fontId="4" type="noConversion"/>
  </si>
  <si>
    <t>Acquired Company</t>
    <phoneticPr fontId="4" type="noConversion"/>
  </si>
  <si>
    <t>Total recharge</t>
    <phoneticPr fontId="4" type="noConversion"/>
  </si>
  <si>
    <t>CS</t>
    <phoneticPr fontId="4" type="noConversion"/>
  </si>
  <si>
    <t>Total Cost</t>
    <phoneticPr fontId="4" type="noConversion"/>
  </si>
  <si>
    <t>MTD Apr with 6% mark up</t>
    <phoneticPr fontId="4" type="noConversion"/>
  </si>
  <si>
    <t>YTD Apr with 6% mark up</t>
    <phoneticPr fontId="4" type="noConversion"/>
  </si>
  <si>
    <t>Total Cost</t>
    <phoneticPr fontId="4" type="noConversion"/>
  </si>
  <si>
    <t>MTD May with 6% mark up for Non DASI company</t>
    <phoneticPr fontId="4" type="noConversion"/>
  </si>
  <si>
    <t>YTD May with 6% mark up for Non DASI company</t>
    <phoneticPr fontId="4" type="noConversion"/>
  </si>
  <si>
    <t>Account</t>
    <phoneticPr fontId="4" type="noConversion"/>
  </si>
  <si>
    <t>Acquired Company</t>
    <phoneticPr fontId="4" type="noConversion"/>
  </si>
  <si>
    <t>Total recharge</t>
    <phoneticPr fontId="4" type="noConversion"/>
  </si>
  <si>
    <t>Total Cost</t>
    <phoneticPr fontId="4" type="noConversion"/>
  </si>
  <si>
    <t>MTD Jun with 6% mark up for Non DASI company</t>
    <phoneticPr fontId="4" type="noConversion"/>
  </si>
  <si>
    <t>YTD Jun with 6% mark up for Non DASI company</t>
    <phoneticPr fontId="4" type="noConversion"/>
  </si>
  <si>
    <t>Legacy company</t>
    <phoneticPr fontId="4" type="noConversion"/>
  </si>
  <si>
    <t>Acquired Company</t>
    <phoneticPr fontId="4" type="noConversion"/>
  </si>
  <si>
    <t>Total recharge</t>
    <phoneticPr fontId="4" type="noConversion"/>
  </si>
  <si>
    <t>CS</t>
    <phoneticPr fontId="4" type="noConversion"/>
  </si>
  <si>
    <t>MTD Jul with 6% mark up for Non DASI company</t>
  </si>
  <si>
    <t>YTD Jul with 6% mark up for Non DASI company</t>
  </si>
  <si>
    <t>MTD Aug with 6% mark up for Non DASI company</t>
    <phoneticPr fontId="4" type="noConversion"/>
  </si>
  <si>
    <t>YTD Aug with 6% mark up for Non DASI company</t>
    <phoneticPr fontId="4" type="noConversion"/>
  </si>
  <si>
    <t>需要开票</t>
    <phoneticPr fontId="4" type="noConversion"/>
  </si>
  <si>
    <t>MTD Sep with 6% mark up for Non DASI company</t>
    <phoneticPr fontId="4" type="noConversion"/>
  </si>
  <si>
    <t>YTD Sep with 6% mark up for Non DASI company</t>
    <phoneticPr fontId="4" type="noConversion"/>
  </si>
  <si>
    <t xml:space="preserve">  </t>
    <phoneticPr fontId="4" type="noConversion"/>
  </si>
  <si>
    <t>MTD Oct with 6% mark up for Non DASI company</t>
  </si>
  <si>
    <t>YTD Oct with 6% mark up for Non DASI company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</si>
</sst>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 * #,##0.00_ ;_ * \-#,##0.00_ ;_ * &quot;-&quot;??_ ;_ @_ "/>
    <numFmt numFmtId="165" formatCode="_ * #,##0_ ;_ * \-#,##0_ ;_ * &quot;-&quot;??_ ;_ @_ "/>
  </numFmts>
  <fonts count="11"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charset val="134"/>
      <scheme val="minor"/>
    </font>
    <font>
      <sz val="11"/>
      <color rgb="FFFF0000"/>
      <name val="Calibri"/>
      <family val="2"/>
      <charset val="134"/>
      <scheme val="minor"/>
    </font>
    <font>
      <b/>
      <sz val="11"/>
      <color theme="1"/>
      <name val="Calibri"/>
      <family val="2"/>
    </font>
    <font>
      <sz val="9"/>
      <name val="Calibri"/>
      <family val="2"/>
      <charset val="134"/>
      <scheme val="minor"/>
    </font>
    <font>
      <sz val="11"/>
      <color theme="1"/>
      <name val="Calibri"/>
      <family val="2"/>
    </font>
    <font>
      <sz val="11"/>
      <color rgb="FFFF0000"/>
      <name val="Calibri"/>
      <family val="2"/>
    </font>
    <font>
      <sz val="11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2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  <xf numFmtId="164" fontId="1" fillId="0" borderId="0" applyFont="0" applyFill="0" applyBorder="0" applyAlignment="0" applyProtection="0">
      <alignment vertical="center"/>
    </xf>
    <xf numFmtId="0" fontId="1" fillId="0" borderId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" fillId="0" borderId="0">
      <alignment vertical="center"/>
    </xf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71">
    <xf numFmtId="0" fontId="0" fillId="0" borderId="0" xfId="0"/>
    <xf numFmtId="0" fontId="3" fillId="2" borderId="0" xfId="0" applyFont="1" applyFill="1"/>
    <xf numFmtId="165" fontId="2" fillId="0" borderId="0" xfId="1" applyNumberFormat="1" applyFont="1"/>
    <xf numFmtId="0" fontId="3" fillId="0" borderId="2" xfId="4" applyFont="1" applyBorder="1" applyAlignment="1">
      <alignment horizontal="center"/>
    </xf>
    <xf numFmtId="0" fontId="3" fillId="0" borderId="3" xfId="3" applyFont="1" applyFill="1" applyBorder="1" applyAlignment="1">
      <alignment horizontal="center" vertical="center"/>
    </xf>
    <xf numFmtId="0" fontId="3" fillId="0" borderId="2" xfId="3" applyFont="1" applyFill="1" applyBorder="1" applyAlignment="1">
      <alignment horizontal="center" vertical="center"/>
    </xf>
    <xf numFmtId="0" fontId="3" fillId="0" borderId="4" xfId="3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9" xfId="3" applyBorder="1">
      <alignment vertical="center"/>
    </xf>
    <xf numFmtId="9" fontId="5" fillId="0" borderId="0" xfId="2" applyNumberFormat="1" applyFont="1" applyFill="1" applyBorder="1" applyAlignment="1">
      <alignment vertical="center"/>
    </xf>
    <xf numFmtId="9" fontId="5" fillId="0" borderId="0" xfId="3" applyNumberFormat="1" applyFont="1" applyFill="1" applyBorder="1">
      <alignment vertical="center"/>
    </xf>
    <xf numFmtId="9" fontId="5" fillId="0" borderId="5" xfId="3" applyNumberFormat="1" applyFont="1" applyFill="1" applyBorder="1">
      <alignment vertical="center"/>
    </xf>
    <xf numFmtId="9" fontId="5" fillId="0" borderId="6" xfId="3" applyNumberFormat="1" applyFont="1" applyFill="1" applyBorder="1">
      <alignment vertical="center"/>
    </xf>
    <xf numFmtId="9" fontId="5" fillId="0" borderId="7" xfId="3" applyNumberFormat="1" applyFont="1" applyFill="1" applyBorder="1">
      <alignment vertical="center"/>
    </xf>
    <xf numFmtId="165" fontId="6" fillId="0" borderId="9" xfId="1" applyNumberFormat="1" applyFont="1" applyFill="1" applyBorder="1" applyAlignment="1">
      <alignment vertical="center"/>
    </xf>
    <xf numFmtId="0" fontId="3" fillId="0" borderId="9" xfId="3" applyFont="1" applyFill="1" applyBorder="1">
      <alignment vertical="center"/>
    </xf>
    <xf numFmtId="165" fontId="5" fillId="0" borderId="0" xfId="5" applyNumberFormat="1" applyFont="1" applyFill="1" applyBorder="1">
      <alignment vertical="center"/>
    </xf>
    <xf numFmtId="165" fontId="5" fillId="0" borderId="10" xfId="5" applyNumberFormat="1" applyFont="1" applyFill="1" applyBorder="1">
      <alignment vertical="center"/>
    </xf>
    <xf numFmtId="165" fontId="5" fillId="0" borderId="11" xfId="5" applyNumberFormat="1" applyFont="1" applyFill="1" applyBorder="1">
      <alignment vertical="center"/>
    </xf>
    <xf numFmtId="165" fontId="7" fillId="0" borderId="9" xfId="1" applyNumberFormat="1" applyFont="1" applyFill="1" applyBorder="1" applyAlignment="1">
      <alignment vertical="center"/>
    </xf>
    <xf numFmtId="165" fontId="5" fillId="0" borderId="0" xfId="1" applyNumberFormat="1" applyFont="1" applyFill="1" applyBorder="1" applyAlignment="1">
      <alignment vertical="center"/>
    </xf>
    <xf numFmtId="165" fontId="5" fillId="0" borderId="10" xfId="1" applyNumberFormat="1" applyFont="1" applyFill="1" applyBorder="1" applyAlignment="1">
      <alignment vertical="center"/>
    </xf>
    <xf numFmtId="165" fontId="5" fillId="0" borderId="11" xfId="1" applyNumberFormat="1" applyFont="1" applyFill="1" applyBorder="1" applyAlignment="1">
      <alignment vertical="center"/>
    </xf>
    <xf numFmtId="0" fontId="3" fillId="0" borderId="9" xfId="6" applyFont="1" applyFill="1" applyBorder="1" applyAlignment="1">
      <alignment horizontal="left" wrapText="1"/>
    </xf>
    <xf numFmtId="165" fontId="0" fillId="0" borderId="0" xfId="0" applyNumberFormat="1"/>
    <xf numFmtId="0" fontId="3" fillId="0" borderId="12" xfId="3" applyFont="1" applyBorder="1">
      <alignment vertical="center"/>
    </xf>
    <xf numFmtId="165" fontId="3" fillId="0" borderId="3" xfId="5" applyNumberFormat="1" applyFont="1" applyFill="1" applyBorder="1">
      <alignment vertical="center"/>
    </xf>
    <xf numFmtId="165" fontId="3" fillId="0" borderId="2" xfId="5" applyNumberFormat="1" applyFont="1" applyFill="1" applyBorder="1">
      <alignment vertical="center"/>
    </xf>
    <xf numFmtId="165" fontId="3" fillId="0" borderId="4" xfId="5" applyNumberFormat="1" applyFont="1" applyFill="1" applyBorder="1">
      <alignment vertical="center"/>
    </xf>
    <xf numFmtId="165" fontId="3" fillId="0" borderId="12" xfId="5" applyNumberFormat="1" applyFont="1" applyFill="1" applyBorder="1">
      <alignment vertical="center"/>
    </xf>
    <xf numFmtId="0" fontId="3" fillId="0" borderId="0" xfId="3" applyFont="1" applyBorder="1">
      <alignment vertical="center"/>
    </xf>
    <xf numFmtId="165" fontId="3" fillId="0" borderId="0" xfId="5" applyNumberFormat="1" applyFont="1" applyFill="1" applyBorder="1">
      <alignment vertical="center"/>
    </xf>
    <xf numFmtId="165" fontId="6" fillId="0" borderId="0" xfId="5" applyNumberFormat="1" applyFont="1" applyFill="1" applyBorder="1">
      <alignment vertical="center"/>
    </xf>
    <xf numFmtId="0" fontId="2" fillId="0" borderId="0" xfId="0" applyFont="1"/>
    <xf numFmtId="9" fontId="5" fillId="0" borderId="10" xfId="3" applyNumberFormat="1" applyFont="1" applyFill="1" applyBorder="1">
      <alignment vertical="center"/>
    </xf>
    <xf numFmtId="9" fontId="5" fillId="0" borderId="11" xfId="3" applyNumberFormat="1" applyFont="1" applyFill="1" applyBorder="1">
      <alignment vertical="center"/>
    </xf>
    <xf numFmtId="164" fontId="0" fillId="0" borderId="0" xfId="0" applyNumberFormat="1"/>
    <xf numFmtId="0" fontId="0" fillId="0" borderId="0" xfId="0" applyFill="1"/>
    <xf numFmtId="0" fontId="3" fillId="3" borderId="2" xfId="4" applyFont="1" applyFill="1" applyBorder="1" applyAlignment="1">
      <alignment horizontal="center"/>
    </xf>
    <xf numFmtId="0" fontId="3" fillId="3" borderId="3" xfId="3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9" fontId="5" fillId="3" borderId="0" xfId="2" applyNumberFormat="1" applyFont="1" applyFill="1" applyBorder="1" applyAlignment="1">
      <alignment vertical="center"/>
    </xf>
    <xf numFmtId="9" fontId="5" fillId="3" borderId="0" xfId="3" applyNumberFormat="1" applyFont="1" applyFill="1" applyBorder="1">
      <alignment vertical="center"/>
    </xf>
    <xf numFmtId="0" fontId="1" fillId="0" borderId="9" xfId="3" applyFill="1" applyBorder="1">
      <alignment vertical="center"/>
    </xf>
    <xf numFmtId="165" fontId="5" fillId="3" borderId="0" xfId="5" applyNumberFormat="1" applyFont="1" applyFill="1" applyBorder="1">
      <alignment vertical="center"/>
    </xf>
    <xf numFmtId="165" fontId="5" fillId="3" borderId="0" xfId="1" applyNumberFormat="1" applyFont="1" applyFill="1" applyBorder="1" applyAlignment="1">
      <alignment vertical="center"/>
    </xf>
    <xf numFmtId="165" fontId="3" fillId="3" borderId="3" xfId="5" applyNumberFormat="1" applyFont="1" applyFill="1" applyBorder="1">
      <alignment vertical="center"/>
    </xf>
    <xf numFmtId="0" fontId="3" fillId="0" borderId="12" xfId="3" applyFont="1" applyFill="1" applyBorder="1">
      <alignment vertical="center"/>
    </xf>
    <xf numFmtId="0" fontId="3" fillId="0" borderId="2" xfId="4" applyFont="1" applyFill="1" applyBorder="1" applyAlignment="1">
      <alignment horizontal="center"/>
    </xf>
    <xf numFmtId="0" fontId="3" fillId="0" borderId="0" xfId="3" applyFont="1" applyFill="1" applyBorder="1">
      <alignment vertical="center"/>
    </xf>
    <xf numFmtId="9" fontId="5" fillId="0" borderId="10" xfId="2" applyNumberFormat="1" applyFont="1" applyFill="1" applyBorder="1" applyAlignment="1">
      <alignment vertical="center"/>
    </xf>
    <xf numFmtId="165" fontId="5" fillId="0" borderId="5" xfId="5" applyNumberFormat="1" applyFont="1" applyFill="1" applyBorder="1">
      <alignment vertical="center"/>
    </xf>
    <xf numFmtId="165" fontId="5" fillId="0" borderId="6" xfId="5" applyNumberFormat="1" applyFont="1" applyFill="1" applyBorder="1">
      <alignment vertical="center"/>
    </xf>
    <xf numFmtId="165" fontId="5" fillId="0" borderId="7" xfId="5" applyNumberFormat="1" applyFont="1" applyFill="1" applyBorder="1">
      <alignment vertical="center"/>
    </xf>
    <xf numFmtId="0" fontId="10" fillId="0" borderId="0" xfId="0" applyFont="1" applyFill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1" xfId="3" applyFont="1" applyFill="1" applyBorder="1" applyAlignment="1">
      <alignment horizontal="center" vertical="center"/>
    </xf>
    <xf numFmtId="0" fontId="3" fillId="0" borderId="8" xfId="3" applyFont="1" applyFill="1" applyBorder="1" applyAlignment="1">
      <alignment horizontal="center" vertical="center"/>
    </xf>
    <xf numFmtId="0" fontId="3" fillId="0" borderId="1" xfId="3" applyFont="1" applyBorder="1" applyAlignment="1">
      <alignment horizontal="center" vertical="center"/>
    </xf>
    <xf numFmtId="0" fontId="3" fillId="0" borderId="8" xfId="3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</cellXfs>
  <cellStyles count="24">
    <cellStyle name="Comma" xfId="1" builtinId="3"/>
    <cellStyle name="Comma 2" xfId="7"/>
    <cellStyle name="Comma 2 14" xfId="8"/>
    <cellStyle name="Comma 22" xfId="9"/>
    <cellStyle name="Normal" xfId="0" builtinId="0"/>
    <cellStyle name="Normal 2" xfId="10"/>
    <cellStyle name="Normal 2 2 8" xfId="11"/>
    <cellStyle name="Normal 2 3 8" xfId="12"/>
    <cellStyle name="Normal 3" xfId="13"/>
    <cellStyle name="Normal 3 2" xfId="14"/>
    <cellStyle name="Normal 3 2 2" xfId="15"/>
    <cellStyle name="Normal 4 15" xfId="16"/>
    <cellStyle name="Percent" xfId="2" builtinId="5"/>
    <cellStyle name="Percent 2" xfId="17"/>
    <cellStyle name="千位分隔 2" xfId="23"/>
    <cellStyle name="千位分隔 3" xfId="5"/>
    <cellStyle name="常规 2" xfId="19"/>
    <cellStyle name="常规 3" xfId="6"/>
    <cellStyle name="常规 4" xfId="20"/>
    <cellStyle name="常规 5" xfId="21"/>
    <cellStyle name="常规 6" xfId="22"/>
    <cellStyle name="常规 7" xfId="4"/>
    <cellStyle name="常规 8" xfId="3"/>
    <cellStyle name="百分比 2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rading/2015/Monthly%20report/June/P6%20trading%20recharg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arrie/2015%20RF2/Trading-RF2%20detailed%20PL%200707%20-%20after%20adj%20of%20GZ%20office%20and%20CC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arrie/2015%20RF3/Trading-2015%20RF3%20detailed%20P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6 recharge"/>
      <sheetName val="summary"/>
    </sheetNames>
    <sheetDataSet>
      <sheetData sheetId="0" refreshError="1">
        <row r="12">
          <cell r="L12">
            <v>23644.620074538478</v>
          </cell>
        </row>
        <row r="13">
          <cell r="L13">
            <v>747.43331584353484</v>
          </cell>
        </row>
        <row r="14">
          <cell r="L14">
            <v>2883.4916376239325</v>
          </cell>
        </row>
        <row r="16">
          <cell r="L16">
            <v>196.46717540172946</v>
          </cell>
        </row>
        <row r="17">
          <cell r="L17">
            <v>1663.814596582065</v>
          </cell>
        </row>
        <row r="18">
          <cell r="L18">
            <v>1047.7116694069587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PNL"/>
      <sheetName val="Detail PNL_Trading WO Amway"/>
      <sheetName val="Detail PNL_Trading with Amway"/>
      <sheetName val="Recharge with Amway"/>
      <sheetName val="Investment without Amway"/>
      <sheetName val="Investment with Amway"/>
      <sheetName val="Amway TO Rev"/>
      <sheetName val="Suganami"/>
      <sheetName val="GMP"/>
      <sheetName val="Content"/>
      <sheetName val="Sheet1"/>
      <sheetName val="TO Rev"/>
    </sheetNames>
    <sheetDataSet>
      <sheetData sheetId="0"/>
      <sheetData sheetId="1"/>
      <sheetData sheetId="2"/>
      <sheetData sheetId="3">
        <row r="5">
          <cell r="C5">
            <v>-12325.478774851799</v>
          </cell>
          <cell r="D5">
            <v>-2606.2770497728516</v>
          </cell>
          <cell r="E5">
            <v>-4222.8783531451336</v>
          </cell>
          <cell r="F5">
            <v>-3064.6101200264179</v>
          </cell>
          <cell r="G5">
            <v>-3147.8463080330575</v>
          </cell>
        </row>
        <row r="6">
          <cell r="C6">
            <v>-663</v>
          </cell>
          <cell r="D6">
            <v>-73.030283259262987</v>
          </cell>
          <cell r="E6">
            <v>-118.32894063448755</v>
          </cell>
          <cell r="F6">
            <v>-85.873198002583493</v>
          </cell>
          <cell r="G6">
            <v>-88.205552649253136</v>
          </cell>
        </row>
        <row r="7">
          <cell r="C7">
            <v>-2238.82341230355</v>
          </cell>
          <cell r="D7">
            <v>-442.61598981294935</v>
          </cell>
          <cell r="E7">
            <v>-717.15840121444967</v>
          </cell>
          <cell r="F7">
            <v>-520.45328096815138</v>
          </cell>
          <cell r="G7">
            <v>-534.58902595582504</v>
          </cell>
        </row>
        <row r="9">
          <cell r="C9">
            <v>-694.72484088698695</v>
          </cell>
          <cell r="D9">
            <v>30.491578108124642</v>
          </cell>
          <cell r="E9">
            <v>49.404657558280611</v>
          </cell>
          <cell r="F9">
            <v>35.85374734197152</v>
          </cell>
          <cell r="G9">
            <v>36.827551231411512</v>
          </cell>
        </row>
        <row r="10">
          <cell r="C10">
            <v>-325</v>
          </cell>
          <cell r="D10">
            <v>-366.09842689593944</v>
          </cell>
          <cell r="E10">
            <v>-593.17911815786761</v>
          </cell>
          <cell r="F10">
            <v>-430.47953942150184</v>
          </cell>
          <cell r="G10">
            <v>-442.17155715718394</v>
          </cell>
        </row>
        <row r="11">
          <cell r="C11">
            <v>-298</v>
          </cell>
          <cell r="D11">
            <v>-123.44112534827032</v>
          </cell>
          <cell r="E11">
            <v>-200.00822865954228</v>
          </cell>
          <cell r="F11">
            <v>-145.14915902848057</v>
          </cell>
          <cell r="G11">
            <v>-149.09147541350774</v>
          </cell>
        </row>
        <row r="13">
          <cell r="C13">
            <v>-1330.37566174894</v>
          </cell>
          <cell r="D13">
            <v>-283.46393150000006</v>
          </cell>
          <cell r="E13">
            <v>-284.64959099999999</v>
          </cell>
          <cell r="F13">
            <v>-284.64959099999999</v>
          </cell>
          <cell r="G13">
            <v>-284.64959099999999</v>
          </cell>
        </row>
        <row r="14">
          <cell r="C14">
            <v>-71.558547775363706</v>
          </cell>
          <cell r="D14">
            <v>-7.2531872389360261</v>
          </cell>
          <cell r="E14">
            <v>-7.28352552680784</v>
          </cell>
          <cell r="F14">
            <v>-7.28352552680784</v>
          </cell>
          <cell r="G14">
            <v>-7.28352552680784</v>
          </cell>
        </row>
        <row r="15">
          <cell r="C15">
            <v>-241.640573584273</v>
          </cell>
          <cell r="D15">
            <v>-47.771781671536509</v>
          </cell>
          <cell r="E15">
            <v>-47.971599216121646</v>
          </cell>
          <cell r="F15">
            <v>-47.971599216121646</v>
          </cell>
          <cell r="G15">
            <v>-47.971599216121646</v>
          </cell>
        </row>
        <row r="17">
          <cell r="C17">
            <v>-74.991754948076405</v>
          </cell>
          <cell r="D17">
            <v>4.9173360000000006</v>
          </cell>
          <cell r="E17">
            <v>4.9379040000000005</v>
          </cell>
          <cell r="F17">
            <v>4.9379040000000005</v>
          </cell>
          <cell r="G17">
            <v>4.9379040000000005</v>
          </cell>
        </row>
        <row r="18">
          <cell r="C18">
            <v>-35.101901575613603</v>
          </cell>
          <cell r="D18">
            <v>-42.532085428904537</v>
          </cell>
          <cell r="E18">
            <v>-42.709986620342683</v>
          </cell>
          <cell r="F18">
            <v>-42.709986620342683</v>
          </cell>
          <cell r="G18">
            <v>-42.709986620342683</v>
          </cell>
        </row>
        <row r="19">
          <cell r="C19">
            <v>-32.123947807948703</v>
          </cell>
          <cell r="D19">
            <v>-13.929083546175166</v>
          </cell>
          <cell r="E19">
            <v>-13.987345456766128</v>
          </cell>
          <cell r="F19">
            <v>-13.987345456766128</v>
          </cell>
          <cell r="G19">
            <v>-13.987345456766128</v>
          </cell>
        </row>
        <row r="21">
          <cell r="C21">
            <v>-4996.5766645337699</v>
          </cell>
          <cell r="D21">
            <v>-1188.4467149659702</v>
          </cell>
          <cell r="E21">
            <v>-1066.7116102192281</v>
          </cell>
          <cell r="F21">
            <v>-730.94991210624482</v>
          </cell>
          <cell r="G21">
            <v>-789.13467255423609</v>
          </cell>
        </row>
        <row r="22">
          <cell r="C22">
            <v>-268.75699867529602</v>
          </cell>
          <cell r="D22">
            <v>-27.230807829727119</v>
          </cell>
          <cell r="E22">
            <v>-24.441498724198432</v>
          </cell>
          <cell r="F22">
            <v>-16.748211206331636</v>
          </cell>
          <cell r="G22">
            <v>-18.08139510967839</v>
          </cell>
        </row>
        <row r="23">
          <cell r="C23">
            <v>-907.54490321063895</v>
          </cell>
          <cell r="D23">
            <v>-198.95592971329225</v>
          </cell>
          <cell r="E23">
            <v>-178.57645401729809</v>
          </cell>
          <cell r="F23">
            <v>-122.36713476978336</v>
          </cell>
          <cell r="G23">
            <v>-132.10775078924601</v>
          </cell>
        </row>
        <row r="25">
          <cell r="C25">
            <v>-281.65131366985599</v>
          </cell>
          <cell r="D25">
            <v>30.154345374348008</v>
          </cell>
          <cell r="E25">
            <v>27.065572149188473</v>
          </cell>
          <cell r="F25">
            <v>18.546322543061727</v>
          </cell>
          <cell r="G25">
            <v>20.022638931485311</v>
          </cell>
        </row>
        <row r="26">
          <cell r="C26">
            <v>-131.83444897278099</v>
          </cell>
          <cell r="D26">
            <v>-194.07152803174941</v>
          </cell>
          <cell r="E26">
            <v>-174.19237190653618</v>
          </cell>
          <cell r="F26">
            <v>-119.3630009412696</v>
          </cell>
          <cell r="G26">
            <v>-128.86448319209671</v>
          </cell>
        </row>
        <row r="27">
          <cell r="C27">
            <v>-120.649958207208</v>
          </cell>
          <cell r="D27">
            <v>-61.956725887057708</v>
          </cell>
          <cell r="E27">
            <v>-55.610367720009279</v>
          </cell>
          <cell r="F27">
            <v>-38.106263218399562</v>
          </cell>
          <cell r="G27">
            <v>-41.139581589752488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PNL"/>
      <sheetName val="Detail PNL_Trading WO Amway"/>
      <sheetName val="Detail PNL_Trading with Amway"/>
      <sheetName val="recharge without Amway"/>
      <sheetName val="Recharge without Amway cal"/>
      <sheetName val="Investment without Amway"/>
      <sheetName val="Investment with Amway"/>
      <sheetName val="Amway TO Rev"/>
      <sheetName val="Suganami"/>
      <sheetName val="GMP"/>
      <sheetName val="Content"/>
      <sheetName val="Sheet1"/>
      <sheetName val="TO Rev"/>
    </sheetNames>
    <sheetDataSet>
      <sheetData sheetId="0"/>
      <sheetData sheetId="1"/>
      <sheetData sheetId="2"/>
      <sheetData sheetId="3">
        <row r="4">
          <cell r="C4">
            <v>-25367.09060582926</v>
          </cell>
          <cell r="D4">
            <v>-2598.620873920594</v>
          </cell>
        </row>
        <row r="5">
          <cell r="C5">
            <v>-1028.4379745455872</v>
          </cell>
          <cell r="D5">
            <v>-76.142380020671567</v>
          </cell>
        </row>
        <row r="6">
          <cell r="C6">
            <v>-4453.6401102549262</v>
          </cell>
          <cell r="D6">
            <v>-21.131562508240449</v>
          </cell>
        </row>
        <row r="8">
          <cell r="C8">
            <v>-542.14730664719877</v>
          </cell>
          <cell r="D8">
            <v>94.41668267861489</v>
          </cell>
        </row>
        <row r="9">
          <cell r="C9">
            <v>-2156.9286416324926</v>
          </cell>
          <cell r="D9">
            <v>-342.36768841147125</v>
          </cell>
        </row>
        <row r="10">
          <cell r="C10">
            <v>-915.68998844980092</v>
          </cell>
          <cell r="D10">
            <v>-205.51814613368123</v>
          </cell>
        </row>
        <row r="12">
          <cell r="C12">
            <v>-2467.7883662489398</v>
          </cell>
          <cell r="D12">
            <v>-2072.8549600853153</v>
          </cell>
        </row>
        <row r="13">
          <cell r="C13">
            <v>-100.66231159472323</v>
          </cell>
          <cell r="D13">
            <v>-76.182548092928471</v>
          </cell>
        </row>
        <row r="14">
          <cell r="C14">
            <v>-433.32715290417451</v>
          </cell>
          <cell r="D14">
            <v>-249.93905705171244</v>
          </cell>
        </row>
        <row r="16">
          <cell r="C16">
            <v>-55.26070694807639</v>
          </cell>
          <cell r="D16">
            <v>-4.333333333333333</v>
          </cell>
        </row>
        <row r="17">
          <cell r="C17">
            <v>-205.76394686554616</v>
          </cell>
          <cell r="D17">
            <v>-209.40921500680014</v>
          </cell>
        </row>
        <row r="18">
          <cell r="C18">
            <v>-88.015067724422238</v>
          </cell>
          <cell r="D18">
            <v>-104.44161095501815</v>
          </cell>
        </row>
        <row r="20">
          <cell r="C20">
            <v>-8771.8195743794495</v>
          </cell>
          <cell r="D20">
            <v>-1077.8619285350198</v>
          </cell>
        </row>
        <row r="21">
          <cell r="C21">
            <v>-355.25891154523157</v>
          </cell>
          <cell r="D21">
            <v>-33.860684624152285</v>
          </cell>
        </row>
        <row r="22">
          <cell r="C22">
            <v>-1539.5521725002588</v>
          </cell>
          <cell r="D22">
            <v>-50.692049460576584</v>
          </cell>
        </row>
        <row r="24">
          <cell r="C24">
            <v>-185.86243467177246</v>
          </cell>
          <cell r="D24">
            <v>30.566666666666666</v>
          </cell>
        </row>
        <row r="25">
          <cell r="C25">
            <v>-748.32583304443301</v>
          </cell>
          <cell r="D25">
            <v>-153.48586634245839</v>
          </cell>
        </row>
        <row r="26">
          <cell r="C26">
            <v>-317.46289662242708</v>
          </cell>
          <cell r="D26">
            <v>-61.639608500860255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4"/>
  <sheetViews>
    <sheetView showGridLines="0" tabSelected="1" topLeftCell="A115" workbookViewId="0">
      <selection activeCell="D137" sqref="D137"/>
    </sheetView>
  </sheetViews>
  <sheetFormatPr defaultRowHeight="15" outlineLevelRow="1" outlineLevelCol="1"/>
  <cols>
    <col min="1" max="1" width="14.5703125" customWidth="1"/>
    <col min="2" max="2" width="14.85546875" customWidth="1"/>
    <col min="3" max="3" width="11.85546875" customWidth="1"/>
    <col min="4" max="4" width="11.28515625" customWidth="1"/>
    <col min="5" max="5" width="10.5703125" customWidth="1"/>
    <col min="6" max="6" width="9.140625" customWidth="1" outlineLevel="1"/>
    <col min="7" max="7" width="9.85546875" customWidth="1"/>
    <col min="8" max="8" width="9.140625" customWidth="1"/>
    <col min="9" max="9" width="12.7109375" style="2" customWidth="1"/>
    <col min="10" max="10" width="1.28515625" customWidth="1"/>
    <col min="11" max="11" width="14.5703125" customWidth="1"/>
    <col min="12" max="12" width="7.140625" customWidth="1"/>
    <col min="13" max="13" width="6.42578125" customWidth="1"/>
    <col min="14" max="14" width="6.28515625" customWidth="1"/>
    <col min="15" max="15" width="8.7109375" customWidth="1"/>
    <col min="16" max="16" width="5.42578125" customWidth="1" outlineLevel="1"/>
    <col min="17" max="17" width="8" bestFit="1" customWidth="1"/>
    <col min="18" max="18" width="7.42578125" bestFit="1" customWidth="1"/>
    <col min="19" max="19" width="12.7109375" customWidth="1"/>
    <col min="21" max="21" width="12.7109375" bestFit="1" customWidth="1"/>
  </cols>
  <sheetData>
    <row r="1" spans="1:19" hidden="1">
      <c r="A1" s="1" t="s">
        <v>0</v>
      </c>
    </row>
    <row r="2" spans="1:19" hidden="1">
      <c r="A2" s="63" t="s">
        <v>1</v>
      </c>
      <c r="B2" s="65" t="s">
        <v>2</v>
      </c>
      <c r="C2" s="66"/>
      <c r="D2" s="66"/>
      <c r="E2" s="67"/>
      <c r="F2" s="68" t="s">
        <v>3</v>
      </c>
      <c r="G2" s="69"/>
      <c r="H2" s="70"/>
      <c r="I2" s="61" t="s">
        <v>4</v>
      </c>
    </row>
    <row r="3" spans="1:19" s="7" customFormat="1" hidden="1">
      <c r="A3" s="64"/>
      <c r="B3" s="3" t="s">
        <v>5</v>
      </c>
      <c r="C3" s="4" t="s">
        <v>6</v>
      </c>
      <c r="D3" s="4" t="s">
        <v>7</v>
      </c>
      <c r="E3" s="4" t="s">
        <v>8</v>
      </c>
      <c r="F3" s="5" t="s">
        <v>9</v>
      </c>
      <c r="G3" s="4" t="s">
        <v>10</v>
      </c>
      <c r="H3" s="6" t="s">
        <v>11</v>
      </c>
      <c r="I3" s="62"/>
    </row>
    <row r="4" spans="1:19" hidden="1">
      <c r="A4" s="8"/>
      <c r="B4" s="9">
        <v>0.66109392384874544</v>
      </c>
      <c r="C4" s="10">
        <v>3.5357971970332934E-2</v>
      </c>
      <c r="D4" s="10">
        <v>0.11128037658040164</v>
      </c>
      <c r="E4" s="10">
        <v>4.3857377450138881E-2</v>
      </c>
      <c r="F4" s="11"/>
      <c r="G4" s="12"/>
      <c r="H4" s="13"/>
      <c r="I4" s="14"/>
    </row>
    <row r="5" spans="1:19" hidden="1">
      <c r="A5" s="15" t="s">
        <v>12</v>
      </c>
      <c r="B5" s="16">
        <v>3000.5098128397094</v>
      </c>
      <c r="C5" s="16">
        <v>160.4793782424305</v>
      </c>
      <c r="D5" s="16">
        <v>505.06871998174239</v>
      </c>
      <c r="E5" s="16">
        <v>199.05566615775581</v>
      </c>
      <c r="F5" s="17"/>
      <c r="G5" s="16"/>
      <c r="H5" s="18"/>
      <c r="I5" s="19">
        <f>SUM(B5:H5)</f>
        <v>3865.113577221638</v>
      </c>
    </row>
    <row r="6" spans="1:19" hidden="1">
      <c r="A6" s="15" t="s">
        <v>13</v>
      </c>
      <c r="B6" s="20">
        <v>266.27451817100047</v>
      </c>
      <c r="C6" s="20">
        <v>14.241436216948538</v>
      </c>
      <c r="D6" s="20">
        <v>44.82135985054579</v>
      </c>
      <c r="E6" s="20">
        <v>17.66481528190738</v>
      </c>
      <c r="F6" s="21"/>
      <c r="G6" s="20"/>
      <c r="H6" s="22"/>
      <c r="I6" s="19">
        <f t="shared" ref="I6:I13" si="0">SUM(B6:H6)</f>
        <v>343.00212952040215</v>
      </c>
    </row>
    <row r="7" spans="1:19" hidden="1">
      <c r="A7" s="15" t="s">
        <v>14</v>
      </c>
      <c r="B7" s="20">
        <v>176.18153070569065</v>
      </c>
      <c r="C7" s="20">
        <v>9.4228995300937264</v>
      </c>
      <c r="D7" s="20">
        <v>29.656220358677039</v>
      </c>
      <c r="E7" s="20">
        <v>11.687991090462011</v>
      </c>
      <c r="F7" s="21"/>
      <c r="G7" s="20"/>
      <c r="H7" s="22"/>
      <c r="I7" s="19">
        <f t="shared" si="0"/>
        <v>226.94864168492344</v>
      </c>
    </row>
    <row r="8" spans="1:19" hidden="1">
      <c r="A8" s="23" t="s">
        <v>15</v>
      </c>
      <c r="B8" s="20">
        <v>180.88565470315703</v>
      </c>
      <c r="C8" s="20">
        <v>9.6744950726439587</v>
      </c>
      <c r="D8" s="20">
        <v>30.448054424964312</v>
      </c>
      <c r="E8" s="20">
        <v>12.000065569271381</v>
      </c>
      <c r="F8" s="21"/>
      <c r="G8" s="20"/>
      <c r="H8" s="22"/>
      <c r="I8" s="19">
        <f t="shared" si="0"/>
        <v>233.00826977003669</v>
      </c>
    </row>
    <row r="9" spans="1:19" hidden="1">
      <c r="A9" s="23" t="s">
        <v>16</v>
      </c>
      <c r="B9" s="20">
        <v>457.43540442138834</v>
      </c>
      <c r="C9" s="20">
        <v>24.465492155196205</v>
      </c>
      <c r="D9" s="20">
        <v>76.999019698851257</v>
      </c>
      <c r="E9" s="20">
        <v>30.346546030811517</v>
      </c>
      <c r="F9" s="21"/>
      <c r="G9" s="20"/>
      <c r="H9" s="22"/>
      <c r="I9" s="19">
        <f t="shared" si="0"/>
        <v>589.24646230624728</v>
      </c>
      <c r="K9" s="24"/>
    </row>
    <row r="10" spans="1:19" hidden="1">
      <c r="A10" s="23" t="s">
        <v>17</v>
      </c>
      <c r="B10" s="20">
        <v>155.12153715561746</v>
      </c>
      <c r="C10" s="20">
        <v>8.2965260530789084</v>
      </c>
      <c r="D10" s="20">
        <v>26.111241455544402</v>
      </c>
      <c r="E10" s="20">
        <v>10.290858167433704</v>
      </c>
      <c r="F10" s="21"/>
      <c r="G10" s="20"/>
      <c r="H10" s="22"/>
      <c r="I10" s="19">
        <f t="shared" si="0"/>
        <v>199.82016283167448</v>
      </c>
    </row>
    <row r="11" spans="1:19" ht="45" hidden="1">
      <c r="A11" s="23" t="s">
        <v>18</v>
      </c>
      <c r="B11" s="20">
        <v>4.9498986100798357</v>
      </c>
      <c r="C11" s="20">
        <v>0.26474056105715471</v>
      </c>
      <c r="D11" s="20">
        <v>0.83320472552175018</v>
      </c>
      <c r="E11" s="20">
        <v>0.32837931775010237</v>
      </c>
      <c r="F11" s="21"/>
      <c r="G11" s="20"/>
      <c r="H11" s="22"/>
      <c r="I11" s="19">
        <f t="shared" si="0"/>
        <v>6.376223214408844</v>
      </c>
    </row>
    <row r="12" spans="1:19" ht="30" hidden="1">
      <c r="A12" s="23" t="s">
        <v>19</v>
      </c>
      <c r="B12" s="20">
        <v>58.141006956084325</v>
      </c>
      <c r="C12" s="20">
        <v>3.1096157748842135</v>
      </c>
      <c r="D12" s="20">
        <v>9.7867381856577218</v>
      </c>
      <c r="E12" s="20">
        <v>3.8571101554815472</v>
      </c>
      <c r="F12" s="21"/>
      <c r="G12" s="20"/>
      <c r="H12" s="22"/>
      <c r="I12" s="19">
        <f t="shared" si="0"/>
        <v>74.894471072107805</v>
      </c>
    </row>
    <row r="13" spans="1:19" hidden="1">
      <c r="A13" s="25" t="s">
        <v>20</v>
      </c>
      <c r="B13" s="26">
        <f>SUM(B5:B12)</f>
        <v>4299.499363562727</v>
      </c>
      <c r="C13" s="26">
        <f t="shared" ref="C13:H13" si="1">SUM(C5:C12)</f>
        <v>229.95458360633322</v>
      </c>
      <c r="D13" s="26">
        <f t="shared" si="1"/>
        <v>723.72455868150462</v>
      </c>
      <c r="E13" s="26">
        <f>SUM(E5:E12)</f>
        <v>285.23143177087348</v>
      </c>
      <c r="F13" s="27">
        <f t="shared" si="1"/>
        <v>0</v>
      </c>
      <c r="G13" s="26">
        <f t="shared" si="1"/>
        <v>0</v>
      </c>
      <c r="H13" s="28">
        <f t="shared" si="1"/>
        <v>0</v>
      </c>
      <c r="I13" s="29">
        <f t="shared" si="0"/>
        <v>5538.4099376214381</v>
      </c>
    </row>
    <row r="14" spans="1:19" hidden="1">
      <c r="A14" s="30"/>
      <c r="B14" s="31"/>
      <c r="C14" s="31"/>
      <c r="D14" s="31"/>
      <c r="E14" s="31"/>
      <c r="F14" s="31"/>
      <c r="G14" s="31"/>
      <c r="H14" s="31"/>
      <c r="I14" s="31"/>
    </row>
    <row r="15" spans="1:19" s="33" customFormat="1" hidden="1">
      <c r="A15" s="1" t="s">
        <v>21</v>
      </c>
      <c r="B15" s="32"/>
      <c r="C15" s="32"/>
      <c r="D15" s="32"/>
      <c r="E15" s="32"/>
      <c r="F15" s="32"/>
      <c r="G15" s="32"/>
      <c r="H15" s="32"/>
      <c r="I15" s="2"/>
      <c r="K15" s="1" t="s">
        <v>22</v>
      </c>
      <c r="L15" s="32"/>
      <c r="M15" s="32"/>
      <c r="N15" s="32"/>
      <c r="O15" s="32"/>
      <c r="P15" s="32"/>
      <c r="Q15" s="32"/>
      <c r="R15" s="32"/>
      <c r="S15" s="2"/>
    </row>
    <row r="16" spans="1:19" hidden="1">
      <c r="A16" s="63" t="s">
        <v>23</v>
      </c>
      <c r="B16" s="65" t="s">
        <v>24</v>
      </c>
      <c r="C16" s="66"/>
      <c r="D16" s="66"/>
      <c r="E16" s="67"/>
      <c r="F16" s="68" t="s">
        <v>3</v>
      </c>
      <c r="G16" s="69"/>
      <c r="H16" s="70"/>
      <c r="I16" s="61" t="s">
        <v>4</v>
      </c>
      <c r="K16" s="63" t="s">
        <v>23</v>
      </c>
      <c r="L16" s="65" t="s">
        <v>24</v>
      </c>
      <c r="M16" s="66"/>
      <c r="N16" s="66"/>
      <c r="O16" s="66"/>
      <c r="P16" s="68" t="s">
        <v>3</v>
      </c>
      <c r="Q16" s="69"/>
      <c r="R16" s="70"/>
      <c r="S16" s="61" t="s">
        <v>4</v>
      </c>
    </row>
    <row r="17" spans="1:21" s="7" customFormat="1" hidden="1" outlineLevel="1">
      <c r="A17" s="64"/>
      <c r="B17" s="3" t="s">
        <v>5</v>
      </c>
      <c r="C17" s="4" t="s">
        <v>6</v>
      </c>
      <c r="D17" s="4" t="s">
        <v>7</v>
      </c>
      <c r="E17" s="4" t="s">
        <v>8</v>
      </c>
      <c r="F17" s="5" t="s">
        <v>9</v>
      </c>
      <c r="G17" s="4" t="s">
        <v>25</v>
      </c>
      <c r="H17" s="6" t="s">
        <v>11</v>
      </c>
      <c r="I17" s="62"/>
      <c r="K17" s="64"/>
      <c r="L17" s="3" t="s">
        <v>5</v>
      </c>
      <c r="M17" s="4" t="s">
        <v>6</v>
      </c>
      <c r="N17" s="4" t="s">
        <v>7</v>
      </c>
      <c r="O17" s="4" t="s">
        <v>8</v>
      </c>
      <c r="P17" s="5" t="s">
        <v>9</v>
      </c>
      <c r="Q17" s="4" t="s">
        <v>25</v>
      </c>
      <c r="R17" s="6" t="s">
        <v>11</v>
      </c>
      <c r="S17" s="62"/>
    </row>
    <row r="18" spans="1:21" hidden="1" outlineLevel="1">
      <c r="A18" s="8"/>
      <c r="B18" s="9">
        <v>0.66109392384874544</v>
      </c>
      <c r="C18" s="10">
        <v>3.5357971970332934E-2</v>
      </c>
      <c r="D18" s="10">
        <v>0.11128037658040164</v>
      </c>
      <c r="E18" s="10">
        <v>4.3857377450138881E-2</v>
      </c>
      <c r="F18" s="34"/>
      <c r="G18" s="10"/>
      <c r="H18" s="35"/>
      <c r="I18" s="14"/>
      <c r="K18" s="8"/>
      <c r="L18" s="9">
        <v>0.66109392384874544</v>
      </c>
      <c r="M18" s="10">
        <v>3.5357971970332934E-2</v>
      </c>
      <c r="N18" s="10">
        <v>0.11128037658040164</v>
      </c>
      <c r="O18" s="10">
        <v>4.3857377450138881E-2</v>
      </c>
      <c r="P18" s="34"/>
      <c r="Q18" s="10"/>
      <c r="R18" s="35"/>
      <c r="S18" s="14"/>
    </row>
    <row r="19" spans="1:21" hidden="1" outlineLevel="1">
      <c r="A19" s="15" t="s">
        <v>12</v>
      </c>
      <c r="B19" s="16">
        <v>2342.9298650461096</v>
      </c>
      <c r="C19" s="16">
        <v>125.30934789790919</v>
      </c>
      <c r="D19" s="16">
        <v>394.37984267943824</v>
      </c>
      <c r="E19" s="16">
        <v>155.43140804004719</v>
      </c>
      <c r="F19" s="17"/>
      <c r="G19" s="16"/>
      <c r="H19" s="18"/>
      <c r="I19" s="19">
        <f>SUM(B19:E19)</f>
        <v>3018.0504636635042</v>
      </c>
      <c r="K19" s="15" t="s">
        <v>12</v>
      </c>
      <c r="L19" s="16">
        <v>5343.439677885819</v>
      </c>
      <c r="M19" s="16">
        <v>285.78872614033969</v>
      </c>
      <c r="N19" s="16">
        <v>899.44856266118063</v>
      </c>
      <c r="O19" s="16">
        <v>354.487074197803</v>
      </c>
      <c r="P19" s="17"/>
      <c r="Q19" s="16"/>
      <c r="R19" s="18"/>
      <c r="S19" s="19">
        <f>SUM(L19:O19)</f>
        <v>6883.1640408851417</v>
      </c>
    </row>
    <row r="20" spans="1:21" hidden="1" outlineLevel="1">
      <c r="A20" s="15" t="s">
        <v>13</v>
      </c>
      <c r="B20" s="20">
        <v>217.12646858133729</v>
      </c>
      <c r="C20" s="20">
        <v>11.612800107769244</v>
      </c>
      <c r="D20" s="20">
        <v>36.54838490821173</v>
      </c>
      <c r="E20" s="20">
        <v>14.404303448364701</v>
      </c>
      <c r="F20" s="21"/>
      <c r="G20" s="20"/>
      <c r="H20" s="22"/>
      <c r="I20" s="19">
        <f t="shared" ref="I20:I27" si="2">SUM(B20:E20)</f>
        <v>279.69195704568295</v>
      </c>
      <c r="K20" s="15" t="s">
        <v>13</v>
      </c>
      <c r="L20" s="20">
        <v>483.40098675233776</v>
      </c>
      <c r="M20" s="20">
        <v>25.854236324717782</v>
      </c>
      <c r="N20" s="20">
        <v>81.36974475875752</v>
      </c>
      <c r="O20" s="20">
        <v>32.069118730272081</v>
      </c>
      <c r="P20" s="21"/>
      <c r="Q20" s="20"/>
      <c r="R20" s="22"/>
      <c r="S20" s="19">
        <f t="shared" ref="S20:S27" si="3">SUM(L20:O20)</f>
        <v>622.69408656608516</v>
      </c>
    </row>
    <row r="21" spans="1:21" hidden="1" outlineLevel="1">
      <c r="A21" s="15" t="s">
        <v>14</v>
      </c>
      <c r="B21" s="20">
        <v>-176.18153070569065</v>
      </c>
      <c r="C21" s="20">
        <v>-9.4228995300937264</v>
      </c>
      <c r="D21" s="20">
        <v>-29.656220358677039</v>
      </c>
      <c r="E21" s="20">
        <v>-11.687991090462011</v>
      </c>
      <c r="F21" s="21"/>
      <c r="G21" s="20"/>
      <c r="H21" s="22"/>
      <c r="I21" s="19">
        <f t="shared" si="2"/>
        <v>-226.94864168492344</v>
      </c>
      <c r="K21" s="15" t="s">
        <v>14</v>
      </c>
      <c r="L21" s="20">
        <v>0</v>
      </c>
      <c r="M21" s="20">
        <v>0</v>
      </c>
      <c r="N21" s="20">
        <v>0</v>
      </c>
      <c r="O21" s="20">
        <v>0</v>
      </c>
      <c r="P21" s="21"/>
      <c r="Q21" s="20"/>
      <c r="R21" s="22"/>
      <c r="S21" s="19">
        <f t="shared" si="3"/>
        <v>0</v>
      </c>
    </row>
    <row r="22" spans="1:21" hidden="1" outlineLevel="1">
      <c r="A22" s="23" t="s">
        <v>15</v>
      </c>
      <c r="B22" s="20">
        <v>-180.88565470315703</v>
      </c>
      <c r="C22" s="20">
        <v>-9.6744950726439587</v>
      </c>
      <c r="D22" s="20">
        <v>-30.448054424964312</v>
      </c>
      <c r="E22" s="20">
        <v>-12.000065569271381</v>
      </c>
      <c r="F22" s="21"/>
      <c r="G22" s="20"/>
      <c r="H22" s="22"/>
      <c r="I22" s="19">
        <f t="shared" si="2"/>
        <v>-233.00826977003669</v>
      </c>
      <c r="K22" s="23" t="s">
        <v>15</v>
      </c>
      <c r="L22" s="20">
        <v>0</v>
      </c>
      <c r="M22" s="20">
        <v>0</v>
      </c>
      <c r="N22" s="20">
        <v>0</v>
      </c>
      <c r="O22" s="20">
        <v>0</v>
      </c>
      <c r="P22" s="21"/>
      <c r="Q22" s="20"/>
      <c r="R22" s="22"/>
      <c r="S22" s="19">
        <f t="shared" si="3"/>
        <v>0</v>
      </c>
    </row>
    <row r="23" spans="1:21" hidden="1" outlineLevel="1">
      <c r="A23" s="23" t="s">
        <v>16</v>
      </c>
      <c r="B23" s="20">
        <v>-457.43540442138834</v>
      </c>
      <c r="C23" s="20">
        <v>-24.465492155196205</v>
      </c>
      <c r="D23" s="20">
        <v>-76.999019698851257</v>
      </c>
      <c r="E23" s="20">
        <v>-30.346546030811517</v>
      </c>
      <c r="F23" s="21"/>
      <c r="G23" s="20"/>
      <c r="H23" s="22"/>
      <c r="I23" s="19">
        <f t="shared" si="2"/>
        <v>-589.24646230624728</v>
      </c>
      <c r="K23" s="23" t="s">
        <v>16</v>
      </c>
      <c r="L23" s="20">
        <v>0</v>
      </c>
      <c r="M23" s="20">
        <v>0</v>
      </c>
      <c r="N23" s="20">
        <v>0</v>
      </c>
      <c r="O23" s="20">
        <v>0</v>
      </c>
      <c r="P23" s="21"/>
      <c r="Q23" s="20"/>
      <c r="R23" s="22"/>
      <c r="S23" s="19">
        <f t="shared" si="3"/>
        <v>0</v>
      </c>
    </row>
    <row r="24" spans="1:21" hidden="1" outlineLevel="1">
      <c r="A24" s="23" t="s">
        <v>17</v>
      </c>
      <c r="B24" s="20">
        <v>-155.12153715561746</v>
      </c>
      <c r="C24" s="20">
        <v>-8.2965260530789084</v>
      </c>
      <c r="D24" s="20">
        <v>-26.111241455544402</v>
      </c>
      <c r="E24" s="20">
        <v>-10.290858167433704</v>
      </c>
      <c r="F24" s="21"/>
      <c r="G24" s="20"/>
      <c r="H24" s="22"/>
      <c r="I24" s="19">
        <f t="shared" si="2"/>
        <v>-199.82016283167448</v>
      </c>
      <c r="K24" s="23" t="s">
        <v>17</v>
      </c>
      <c r="L24" s="20">
        <v>0</v>
      </c>
      <c r="M24" s="20">
        <v>0</v>
      </c>
      <c r="N24" s="20">
        <v>0</v>
      </c>
      <c r="O24" s="20">
        <v>0</v>
      </c>
      <c r="P24" s="21"/>
      <c r="Q24" s="20"/>
      <c r="R24" s="22"/>
      <c r="S24" s="19">
        <f t="shared" si="3"/>
        <v>0</v>
      </c>
    </row>
    <row r="25" spans="1:21" ht="45" hidden="1" outlineLevel="1">
      <c r="A25" s="23" t="s">
        <v>18</v>
      </c>
      <c r="B25" s="20">
        <v>-4.9498986100798357</v>
      </c>
      <c r="C25" s="20">
        <v>-0.26474056105715471</v>
      </c>
      <c r="D25" s="20">
        <v>-0.83320472552175018</v>
      </c>
      <c r="E25" s="20">
        <v>-0.32837931775010237</v>
      </c>
      <c r="F25" s="21"/>
      <c r="G25" s="20"/>
      <c r="H25" s="22"/>
      <c r="I25" s="19">
        <f t="shared" si="2"/>
        <v>-6.376223214408844</v>
      </c>
      <c r="K25" s="23" t="s">
        <v>18</v>
      </c>
      <c r="L25" s="20">
        <v>0</v>
      </c>
      <c r="M25" s="20">
        <v>0</v>
      </c>
      <c r="N25" s="20">
        <v>0</v>
      </c>
      <c r="O25" s="20">
        <v>0</v>
      </c>
      <c r="P25" s="21"/>
      <c r="Q25" s="20"/>
      <c r="R25" s="22"/>
      <c r="S25" s="19">
        <f t="shared" si="3"/>
        <v>0</v>
      </c>
    </row>
    <row r="26" spans="1:21" ht="30" hidden="1" outlineLevel="1">
      <c r="A26" s="23" t="s">
        <v>19</v>
      </c>
      <c r="B26" s="20">
        <v>1693.5608355357899</v>
      </c>
      <c r="C26" s="20">
        <v>90.578470611731859</v>
      </c>
      <c r="D26" s="20">
        <v>285.07308983127331</v>
      </c>
      <c r="E26" s="20">
        <v>112.35186729058407</v>
      </c>
      <c r="F26" s="21"/>
      <c r="G26" s="20"/>
      <c r="H26" s="22"/>
      <c r="I26" s="19">
        <f t="shared" si="2"/>
        <v>2181.5642632693789</v>
      </c>
      <c r="K26" s="23" t="s">
        <v>19</v>
      </c>
      <c r="L26" s="20">
        <v>1751.7018424918742</v>
      </c>
      <c r="M26" s="20">
        <v>93.688086386616078</v>
      </c>
      <c r="N26" s="20">
        <v>294.85982801693103</v>
      </c>
      <c r="O26" s="20">
        <v>116.20897744606562</v>
      </c>
      <c r="P26" s="21"/>
      <c r="Q26" s="20"/>
      <c r="R26" s="22"/>
      <c r="S26" s="19">
        <f t="shared" si="3"/>
        <v>2256.4587343414869</v>
      </c>
    </row>
    <row r="27" spans="1:21" hidden="1" outlineLevel="1">
      <c r="A27" s="25" t="s">
        <v>26</v>
      </c>
      <c r="B27" s="26">
        <v>3279.0431435673036</v>
      </c>
      <c r="C27" s="26">
        <v>175.37646524534034</v>
      </c>
      <c r="D27" s="26">
        <v>551.95357675536457</v>
      </c>
      <c r="E27" s="26">
        <v>217.53373860326724</v>
      </c>
      <c r="F27" s="27"/>
      <c r="G27" s="26"/>
      <c r="H27" s="28"/>
      <c r="I27" s="29">
        <f t="shared" si="2"/>
        <v>4223.906924171275</v>
      </c>
      <c r="K27" s="25" t="s">
        <v>26</v>
      </c>
      <c r="L27" s="26">
        <v>7578.5425071300315</v>
      </c>
      <c r="M27" s="26">
        <v>405.33104885167353</v>
      </c>
      <c r="N27" s="26">
        <v>1275.6781354368691</v>
      </c>
      <c r="O27" s="26">
        <v>502.76517037414067</v>
      </c>
      <c r="P27" s="27"/>
      <c r="Q27" s="26"/>
      <c r="R27" s="28"/>
      <c r="S27" s="29">
        <f t="shared" si="3"/>
        <v>9762.3168617927149</v>
      </c>
      <c r="U27" s="36"/>
    </row>
    <row r="28" spans="1:21" hidden="1" outlineLevel="1"/>
    <row r="29" spans="1:21" hidden="1" outlineLevel="1"/>
    <row r="30" spans="1:21" s="33" customFormat="1" hidden="1" outlineLevel="1">
      <c r="A30" s="1" t="s">
        <v>27</v>
      </c>
      <c r="B30" s="32"/>
      <c r="C30" s="32"/>
      <c r="D30" s="32"/>
      <c r="E30" s="32"/>
      <c r="F30" s="32"/>
      <c r="G30" s="32"/>
      <c r="H30" s="32"/>
      <c r="I30" s="2"/>
      <c r="K30" s="1" t="s">
        <v>28</v>
      </c>
      <c r="L30" s="32"/>
      <c r="M30" s="32"/>
      <c r="N30" s="32"/>
      <c r="O30" s="32"/>
      <c r="P30" s="32"/>
      <c r="Q30" s="32"/>
      <c r="R30" s="32"/>
      <c r="S30" s="2"/>
    </row>
    <row r="31" spans="1:21" hidden="1" outlineLevel="1">
      <c r="A31" s="63" t="s">
        <v>29</v>
      </c>
      <c r="B31" s="65" t="s">
        <v>30</v>
      </c>
      <c r="C31" s="66"/>
      <c r="D31" s="66"/>
      <c r="E31" s="67"/>
      <c r="F31" s="68" t="s">
        <v>31</v>
      </c>
      <c r="G31" s="69"/>
      <c r="H31" s="70"/>
      <c r="I31" s="61" t="s">
        <v>32</v>
      </c>
      <c r="K31" s="63" t="s">
        <v>29</v>
      </c>
      <c r="L31" s="65" t="s">
        <v>30</v>
      </c>
      <c r="M31" s="66"/>
      <c r="N31" s="66"/>
      <c r="O31" s="66"/>
      <c r="P31" s="68" t="s">
        <v>31</v>
      </c>
      <c r="Q31" s="69"/>
      <c r="R31" s="70"/>
      <c r="S31" s="61" t="s">
        <v>32</v>
      </c>
    </row>
    <row r="32" spans="1:21" s="7" customFormat="1" hidden="1" outlineLevel="1">
      <c r="A32" s="64"/>
      <c r="B32" s="3" t="s">
        <v>5</v>
      </c>
      <c r="C32" s="4" t="s">
        <v>6</v>
      </c>
      <c r="D32" s="4" t="s">
        <v>7</v>
      </c>
      <c r="E32" s="4" t="s">
        <v>8</v>
      </c>
      <c r="F32" s="5" t="s">
        <v>9</v>
      </c>
      <c r="G32" s="4" t="s">
        <v>33</v>
      </c>
      <c r="H32" s="6" t="s">
        <v>11</v>
      </c>
      <c r="I32" s="62"/>
      <c r="K32" s="64"/>
      <c r="L32" s="3" t="s">
        <v>5</v>
      </c>
      <c r="M32" s="4" t="s">
        <v>6</v>
      </c>
      <c r="N32" s="4" t="s">
        <v>7</v>
      </c>
      <c r="O32" s="4" t="s">
        <v>8</v>
      </c>
      <c r="P32" s="5" t="s">
        <v>9</v>
      </c>
      <c r="Q32" s="4" t="s">
        <v>33</v>
      </c>
      <c r="R32" s="6" t="s">
        <v>11</v>
      </c>
      <c r="S32" s="62"/>
    </row>
    <row r="33" spans="1:21" hidden="1" outlineLevel="1">
      <c r="A33" s="8"/>
      <c r="B33" s="9">
        <v>0.66109392384874544</v>
      </c>
      <c r="C33" s="10">
        <v>3.5357971970332934E-2</v>
      </c>
      <c r="D33" s="10">
        <v>0.11128037658040164</v>
      </c>
      <c r="E33" s="10">
        <v>4.3857377450138881E-2</v>
      </c>
      <c r="F33" s="34"/>
      <c r="G33" s="10"/>
      <c r="H33" s="35"/>
      <c r="I33" s="14"/>
      <c r="K33" s="8"/>
      <c r="L33" s="9">
        <v>0.66109392384874544</v>
      </c>
      <c r="M33" s="10">
        <v>3.5357971970332934E-2</v>
      </c>
      <c r="N33" s="10">
        <v>0.11128037658040164</v>
      </c>
      <c r="O33" s="10">
        <v>4.3857377450138881E-2</v>
      </c>
      <c r="P33" s="34"/>
      <c r="Q33" s="10"/>
      <c r="R33" s="35"/>
      <c r="S33" s="14"/>
    </row>
    <row r="34" spans="1:21" hidden="1" outlineLevel="1">
      <c r="A34" s="15" t="s">
        <v>12</v>
      </c>
      <c r="B34" s="16">
        <v>1087.8055435633614</v>
      </c>
      <c r="C34" s="16">
        <v>58.180232083461306</v>
      </c>
      <c r="D34" s="16">
        <v>183.1077342675369</v>
      </c>
      <c r="E34" s="16">
        <v>72.165688709804556</v>
      </c>
      <c r="F34" s="17"/>
      <c r="G34" s="16"/>
      <c r="H34" s="18"/>
      <c r="I34" s="19">
        <v>1579.5367055949177</v>
      </c>
      <c r="K34" s="15" t="s">
        <v>12</v>
      </c>
      <c r="L34" s="16">
        <v>6431.2452214491805</v>
      </c>
      <c r="M34" s="16">
        <v>343.968958223801</v>
      </c>
      <c r="N34" s="16">
        <v>1082.5562969287175</v>
      </c>
      <c r="O34" s="16">
        <v>426.65276290760755</v>
      </c>
      <c r="P34" s="17"/>
      <c r="Q34" s="16"/>
      <c r="R34" s="18"/>
      <c r="S34" s="19">
        <v>9407.1164305860857</v>
      </c>
    </row>
    <row r="35" spans="1:21" hidden="1" outlineLevel="1">
      <c r="A35" s="15" t="s">
        <v>13</v>
      </c>
      <c r="B35" s="20">
        <v>218.03633281632926</v>
      </c>
      <c r="C35" s="20">
        <v>11.661463320297898</v>
      </c>
      <c r="D35" s="20">
        <v>36.701540202874696</v>
      </c>
      <c r="E35" s="20">
        <v>14.464664401238245</v>
      </c>
      <c r="F35" s="21"/>
      <c r="G35" s="20"/>
      <c r="H35" s="22"/>
      <c r="I35" s="19">
        <v>317.87514876587039</v>
      </c>
      <c r="K35" s="15" t="s">
        <v>13</v>
      </c>
      <c r="L35" s="20">
        <v>701.43731956866702</v>
      </c>
      <c r="M35" s="20">
        <v>37.51569964501568</v>
      </c>
      <c r="N35" s="20">
        <v>118.07128496163222</v>
      </c>
      <c r="O35" s="20">
        <v>46.533783131510326</v>
      </c>
      <c r="P35" s="21"/>
      <c r="Q35" s="20"/>
      <c r="R35" s="22"/>
      <c r="S35" s="19">
        <v>1026.0069872524316</v>
      </c>
    </row>
    <row r="36" spans="1:21" hidden="1" outlineLevel="1">
      <c r="A36" s="15" t="s">
        <v>14</v>
      </c>
      <c r="B36" s="20"/>
      <c r="C36" s="20"/>
      <c r="D36" s="20"/>
      <c r="E36" s="20"/>
      <c r="F36" s="21"/>
      <c r="G36" s="20"/>
      <c r="H36" s="22"/>
      <c r="I36" s="19">
        <v>0</v>
      </c>
      <c r="K36" s="15" t="s">
        <v>14</v>
      </c>
      <c r="L36" s="20">
        <v>0</v>
      </c>
      <c r="M36" s="20">
        <v>0</v>
      </c>
      <c r="N36" s="20">
        <v>0</v>
      </c>
      <c r="O36" s="20">
        <v>0</v>
      </c>
      <c r="P36" s="21"/>
      <c r="Q36" s="20"/>
      <c r="R36" s="22"/>
      <c r="S36" s="19">
        <v>0</v>
      </c>
    </row>
    <row r="37" spans="1:21" hidden="1" outlineLevel="1">
      <c r="A37" s="23" t="s">
        <v>15</v>
      </c>
      <c r="B37" s="20"/>
      <c r="C37" s="20"/>
      <c r="D37" s="20"/>
      <c r="E37" s="20"/>
      <c r="F37" s="21"/>
      <c r="G37" s="20"/>
      <c r="H37" s="22"/>
      <c r="I37" s="19">
        <v>0</v>
      </c>
      <c r="K37" s="23" t="s">
        <v>15</v>
      </c>
      <c r="L37" s="20">
        <v>0</v>
      </c>
      <c r="M37" s="20">
        <v>0</v>
      </c>
      <c r="N37" s="20">
        <v>0</v>
      </c>
      <c r="O37" s="20">
        <v>0</v>
      </c>
      <c r="P37" s="21"/>
      <c r="Q37" s="20"/>
      <c r="R37" s="22"/>
      <c r="S37" s="19">
        <v>0</v>
      </c>
    </row>
    <row r="38" spans="1:21" hidden="1" outlineLevel="1">
      <c r="A38" s="23" t="s">
        <v>16</v>
      </c>
      <c r="B38" s="20"/>
      <c r="C38" s="20"/>
      <c r="D38" s="20"/>
      <c r="E38" s="20"/>
      <c r="F38" s="21"/>
      <c r="G38" s="20"/>
      <c r="H38" s="22"/>
      <c r="I38" s="19">
        <v>0</v>
      </c>
      <c r="K38" s="23" t="s">
        <v>16</v>
      </c>
      <c r="L38" s="20">
        <v>0</v>
      </c>
      <c r="M38" s="20">
        <v>0</v>
      </c>
      <c r="N38" s="20">
        <v>0</v>
      </c>
      <c r="O38" s="20">
        <v>0</v>
      </c>
      <c r="P38" s="21"/>
      <c r="Q38" s="20"/>
      <c r="R38" s="22"/>
      <c r="S38" s="19">
        <v>0</v>
      </c>
    </row>
    <row r="39" spans="1:21" hidden="1" outlineLevel="1">
      <c r="A39" s="23" t="s">
        <v>17</v>
      </c>
      <c r="B39" s="20"/>
      <c r="C39" s="20"/>
      <c r="D39" s="20"/>
      <c r="E39" s="20"/>
      <c r="F39" s="21"/>
      <c r="G39" s="20"/>
      <c r="H39" s="22"/>
      <c r="I39" s="19">
        <v>0</v>
      </c>
      <c r="K39" s="23" t="s">
        <v>17</v>
      </c>
      <c r="L39" s="20">
        <v>0</v>
      </c>
      <c r="M39" s="20">
        <v>0</v>
      </c>
      <c r="N39" s="20">
        <v>0</v>
      </c>
      <c r="O39" s="20">
        <v>0</v>
      </c>
      <c r="P39" s="21"/>
      <c r="Q39" s="20"/>
      <c r="R39" s="22"/>
      <c r="S39" s="19">
        <v>0</v>
      </c>
    </row>
    <row r="40" spans="1:21" ht="45" hidden="1" outlineLevel="1">
      <c r="A40" s="23" t="s">
        <v>18</v>
      </c>
      <c r="B40" s="20"/>
      <c r="C40" s="20"/>
      <c r="D40" s="20"/>
      <c r="E40" s="20"/>
      <c r="F40" s="21"/>
      <c r="G40" s="20"/>
      <c r="H40" s="22"/>
      <c r="I40" s="19">
        <v>0</v>
      </c>
      <c r="K40" s="23" t="s">
        <v>18</v>
      </c>
      <c r="L40" s="20">
        <v>0</v>
      </c>
      <c r="M40" s="20">
        <v>0</v>
      </c>
      <c r="N40" s="20">
        <v>0</v>
      </c>
      <c r="O40" s="20">
        <v>0</v>
      </c>
      <c r="P40" s="21"/>
      <c r="Q40" s="20"/>
      <c r="R40" s="22"/>
      <c r="S40" s="19">
        <v>0</v>
      </c>
    </row>
    <row r="41" spans="1:21" ht="30" hidden="1" outlineLevel="1">
      <c r="A41" s="23" t="s">
        <v>19</v>
      </c>
      <c r="B41" s="20">
        <v>792.31203119782276</v>
      </c>
      <c r="C41" s="20">
        <v>42.37604609607601</v>
      </c>
      <c r="D41" s="20">
        <v>133.36801023306515</v>
      </c>
      <c r="E41" s="20">
        <v>52.562467384709194</v>
      </c>
      <c r="F41" s="21"/>
      <c r="G41" s="20"/>
      <c r="H41" s="22"/>
      <c r="I41" s="19">
        <v>1155.1223033186163</v>
      </c>
      <c r="K41" s="23" t="s">
        <v>19</v>
      </c>
      <c r="L41" s="20">
        <v>2544.013873689697</v>
      </c>
      <c r="M41" s="20">
        <v>136.06413248269209</v>
      </c>
      <c r="N41" s="20">
        <v>428.22783824999618</v>
      </c>
      <c r="O41" s="20">
        <v>168.77144483077481</v>
      </c>
      <c r="P41" s="21"/>
      <c r="Q41" s="20"/>
      <c r="R41" s="22"/>
      <c r="S41" s="19">
        <v>3721.1821174240094</v>
      </c>
    </row>
    <row r="42" spans="1:21" hidden="1" outlineLevel="1">
      <c r="A42" s="25" t="s">
        <v>34</v>
      </c>
      <c r="B42" s="26">
        <f>SUM(B34:B41)</f>
        <v>2098.1539075775136</v>
      </c>
      <c r="C42" s="26">
        <f t="shared" ref="C42:H42" si="4">SUM(C34:C41)</f>
        <v>112.21774149983521</v>
      </c>
      <c r="D42" s="26">
        <f t="shared" si="4"/>
        <v>353.17728470347674</v>
      </c>
      <c r="E42" s="26">
        <f t="shared" si="4"/>
        <v>139.19282049575202</v>
      </c>
      <c r="F42" s="27">
        <f t="shared" si="4"/>
        <v>0</v>
      </c>
      <c r="G42" s="26">
        <f t="shared" si="4"/>
        <v>0</v>
      </c>
      <c r="H42" s="28">
        <f t="shared" si="4"/>
        <v>0</v>
      </c>
      <c r="I42" s="29">
        <f t="shared" ref="I42" si="5">SUM(B42:H42)</f>
        <v>2702.7417542765775</v>
      </c>
      <c r="K42" s="25" t="s">
        <v>34</v>
      </c>
      <c r="L42" s="26">
        <f>SUM(L34:L41)</f>
        <v>9676.696414707545</v>
      </c>
      <c r="M42" s="26">
        <f t="shared" ref="M42:R42" si="6">SUM(M34:M41)</f>
        <v>517.54879035150873</v>
      </c>
      <c r="N42" s="26">
        <f t="shared" si="6"/>
        <v>1628.855420140346</v>
      </c>
      <c r="O42" s="26">
        <f t="shared" si="6"/>
        <v>641.95799086989268</v>
      </c>
      <c r="P42" s="27">
        <f t="shared" si="6"/>
        <v>0</v>
      </c>
      <c r="Q42" s="26">
        <f t="shared" si="6"/>
        <v>0</v>
      </c>
      <c r="R42" s="28">
        <f t="shared" si="6"/>
        <v>0</v>
      </c>
      <c r="S42" s="29">
        <f>SUM(L42:R42)</f>
        <v>12465.058616069293</v>
      </c>
      <c r="U42" s="36"/>
    </row>
    <row r="43" spans="1:21" hidden="1" outlineLevel="1"/>
    <row r="44" spans="1:21" s="33" customFormat="1" hidden="1" collapsed="1">
      <c r="A44" s="1" t="s">
        <v>35</v>
      </c>
      <c r="B44" s="32"/>
      <c r="C44" s="32"/>
      <c r="D44" s="32"/>
      <c r="E44" s="32"/>
      <c r="F44" s="32"/>
      <c r="G44" s="32"/>
      <c r="H44" s="32"/>
      <c r="I44" s="2"/>
      <c r="K44" s="1" t="s">
        <v>36</v>
      </c>
      <c r="L44" s="32"/>
      <c r="M44" s="32"/>
      <c r="N44" s="32"/>
      <c r="O44" s="32"/>
      <c r="P44" s="32"/>
      <c r="Q44" s="32"/>
      <c r="R44" s="32"/>
      <c r="S44" s="2"/>
    </row>
    <row r="45" spans="1:21" hidden="1">
      <c r="A45" s="63" t="s">
        <v>29</v>
      </c>
      <c r="B45" s="55" t="s">
        <v>30</v>
      </c>
      <c r="C45" s="56"/>
      <c r="D45" s="56"/>
      <c r="E45" s="57"/>
      <c r="F45" s="58" t="s">
        <v>31</v>
      </c>
      <c r="G45" s="59"/>
      <c r="H45" s="60"/>
      <c r="I45" s="61" t="s">
        <v>32</v>
      </c>
      <c r="J45" s="37"/>
      <c r="K45" s="61" t="s">
        <v>29</v>
      </c>
      <c r="L45" s="55" t="s">
        <v>30</v>
      </c>
      <c r="M45" s="56"/>
      <c r="N45" s="56"/>
      <c r="O45" s="56"/>
      <c r="P45" s="58" t="s">
        <v>31</v>
      </c>
      <c r="Q45" s="59"/>
      <c r="R45" s="60"/>
      <c r="S45" s="61" t="s">
        <v>32</v>
      </c>
    </row>
    <row r="46" spans="1:21" s="7" customFormat="1" hidden="1">
      <c r="A46" s="64"/>
      <c r="B46" s="38" t="s">
        <v>5</v>
      </c>
      <c r="C46" s="4" t="s">
        <v>6</v>
      </c>
      <c r="D46" s="39" t="s">
        <v>7</v>
      </c>
      <c r="E46" s="4" t="s">
        <v>8</v>
      </c>
      <c r="F46" s="5" t="s">
        <v>9</v>
      </c>
      <c r="G46" s="4" t="s">
        <v>25</v>
      </c>
      <c r="H46" s="6" t="s">
        <v>11</v>
      </c>
      <c r="I46" s="62"/>
      <c r="J46" s="40"/>
      <c r="K46" s="62"/>
      <c r="L46" s="38" t="s">
        <v>5</v>
      </c>
      <c r="M46" s="4" t="s">
        <v>6</v>
      </c>
      <c r="N46" s="39" t="s">
        <v>7</v>
      </c>
      <c r="O46" s="4" t="s">
        <v>8</v>
      </c>
      <c r="P46" s="5" t="s">
        <v>9</v>
      </c>
      <c r="Q46" s="4" t="s">
        <v>25</v>
      </c>
      <c r="R46" s="6" t="s">
        <v>11</v>
      </c>
      <c r="S46" s="62"/>
    </row>
    <row r="47" spans="1:21" hidden="1">
      <c r="A47" s="8"/>
      <c r="B47" s="41">
        <f>L47</f>
        <v>0.70636976344364699</v>
      </c>
      <c r="C47" s="10">
        <f t="shared" ref="C47:H47" si="7">M47</f>
        <v>3.5831889226737502E-2</v>
      </c>
      <c r="D47" s="42">
        <f t="shared" si="7"/>
        <v>0.12830634760960599</v>
      </c>
      <c r="E47" s="10">
        <f t="shared" si="7"/>
        <v>3.7560837333260301E-2</v>
      </c>
      <c r="F47" s="34">
        <f t="shared" si="7"/>
        <v>0</v>
      </c>
      <c r="G47" s="10">
        <f t="shared" si="7"/>
        <v>1.7591602909556799E-2</v>
      </c>
      <c r="H47" s="35">
        <f t="shared" si="7"/>
        <v>1.70524613901883E-2</v>
      </c>
      <c r="I47" s="14"/>
      <c r="J47" s="37"/>
      <c r="K47" s="43"/>
      <c r="L47" s="41">
        <v>0.70636976344364699</v>
      </c>
      <c r="M47" s="10">
        <v>3.5831889226737502E-2</v>
      </c>
      <c r="N47" s="42">
        <v>0.12830634760960599</v>
      </c>
      <c r="O47" s="10">
        <v>3.7560837333260301E-2</v>
      </c>
      <c r="P47" s="34">
        <v>0</v>
      </c>
      <c r="Q47" s="10">
        <v>1.7591602909556799E-2</v>
      </c>
      <c r="R47" s="35">
        <v>1.70524613901883E-2</v>
      </c>
      <c r="S47" s="14"/>
    </row>
    <row r="48" spans="1:21" hidden="1">
      <c r="A48" s="15" t="s">
        <v>12</v>
      </c>
      <c r="B48" s="44">
        <f>L48-L34</f>
        <v>3058.3416747170195</v>
      </c>
      <c r="C48" s="16">
        <f t="shared" ref="C48:H48" si="8">M48-M34</f>
        <v>166.29016484798916</v>
      </c>
      <c r="D48" s="44">
        <f t="shared" si="8"/>
        <v>641.1503196105125</v>
      </c>
      <c r="E48" s="16">
        <f t="shared" si="8"/>
        <v>108.22720946097752</v>
      </c>
      <c r="F48" s="17">
        <f t="shared" si="8"/>
        <v>0</v>
      </c>
      <c r="G48" s="16">
        <f t="shared" si="8"/>
        <v>250.51081781530934</v>
      </c>
      <c r="H48" s="18">
        <f t="shared" si="8"/>
        <v>242.83324666789508</v>
      </c>
      <c r="I48" s="19">
        <f>SUM(B48:H48)</f>
        <v>4467.3534331197025</v>
      </c>
      <c r="J48" s="37"/>
      <c r="K48" s="15" t="s">
        <v>12</v>
      </c>
      <c r="L48" s="44">
        <f>9489.5868961662</f>
        <v>9489.5868961661999</v>
      </c>
      <c r="M48" s="16">
        <f>481.376531199802*1.06</f>
        <v>510.25912307179016</v>
      </c>
      <c r="N48" s="44">
        <f>1723.70661653923</f>
        <v>1723.70661653923</v>
      </c>
      <c r="O48" s="16">
        <f>504.603747517533*1.06</f>
        <v>534.87997236858507</v>
      </c>
      <c r="P48" s="17">
        <v>0</v>
      </c>
      <c r="Q48" s="16">
        <f>236.330960203122*1.06</f>
        <v>250.51081781530934</v>
      </c>
      <c r="R48" s="18">
        <f>229.087968554618*1.06</f>
        <v>242.83324666789508</v>
      </c>
      <c r="S48" s="19">
        <f>SUM(L48:R48)</f>
        <v>12751.776672629008</v>
      </c>
    </row>
    <row r="49" spans="1:21" hidden="1">
      <c r="A49" s="15" t="s">
        <v>13</v>
      </c>
      <c r="B49" s="45">
        <f t="shared" ref="B49:H49" si="9">L49-L35</f>
        <v>305.21056521398293</v>
      </c>
      <c r="C49" s="20">
        <f t="shared" si="9"/>
        <v>16.630105053102739</v>
      </c>
      <c r="D49" s="45">
        <f t="shared" si="9"/>
        <v>64.769531561196771</v>
      </c>
      <c r="E49" s="20">
        <f t="shared" si="9"/>
        <v>10.209807167923579</v>
      </c>
      <c r="F49" s="21">
        <f t="shared" si="9"/>
        <v>0</v>
      </c>
      <c r="G49" s="20">
        <f t="shared" si="9"/>
        <v>26.560358843672592</v>
      </c>
      <c r="H49" s="22">
        <f t="shared" si="9"/>
        <v>25.765470117952965</v>
      </c>
      <c r="I49" s="19">
        <f t="shared" ref="I49:I55" si="10">SUM(B49:H49)</f>
        <v>449.14583795783165</v>
      </c>
      <c r="J49" s="37"/>
      <c r="K49" s="15" t="s">
        <v>13</v>
      </c>
      <c r="L49" s="45">
        <f>1006.64788478265</f>
        <v>1006.64788478265</v>
      </c>
      <c r="M49" s="20">
        <f>51.0809478284136*1.06</f>
        <v>54.145804698118418</v>
      </c>
      <c r="N49" s="45">
        <f>182.840816522829</f>
        <v>182.84081652282899</v>
      </c>
      <c r="O49" s="20">
        <f>53.5316889617301*1.06</f>
        <v>56.743590299433905</v>
      </c>
      <c r="P49" s="21">
        <v>0</v>
      </c>
      <c r="Q49" s="20">
        <f>25.0569423053515*1.06</f>
        <v>26.560358843672592</v>
      </c>
      <c r="R49" s="22">
        <f>24.3070472810877*1.06</f>
        <v>25.765470117952965</v>
      </c>
      <c r="S49" s="19">
        <f t="shared" ref="S49:S55" si="11">SUM(L49:R49)</f>
        <v>1352.7039252646568</v>
      </c>
    </row>
    <row r="50" spans="1:21" hidden="1" outlineLevel="1">
      <c r="A50" s="15" t="s">
        <v>14</v>
      </c>
      <c r="B50" s="45"/>
      <c r="C50" s="20"/>
      <c r="D50" s="45"/>
      <c r="E50" s="20"/>
      <c r="F50" s="21"/>
      <c r="G50" s="20"/>
      <c r="H50" s="22"/>
      <c r="I50" s="19">
        <f t="shared" si="10"/>
        <v>0</v>
      </c>
      <c r="J50" s="37"/>
      <c r="K50" s="15" t="s">
        <v>14</v>
      </c>
      <c r="L50" s="45"/>
      <c r="M50" s="20"/>
      <c r="N50" s="45"/>
      <c r="O50" s="20"/>
      <c r="P50" s="21"/>
      <c r="Q50" s="20"/>
      <c r="R50" s="22"/>
      <c r="S50" s="19">
        <f t="shared" si="11"/>
        <v>0</v>
      </c>
    </row>
    <row r="51" spans="1:21" hidden="1" outlineLevel="1">
      <c r="A51" s="23" t="s">
        <v>15</v>
      </c>
      <c r="B51" s="45"/>
      <c r="C51" s="20"/>
      <c r="D51" s="45"/>
      <c r="E51" s="20"/>
      <c r="F51" s="21"/>
      <c r="G51" s="20"/>
      <c r="H51" s="22"/>
      <c r="I51" s="19">
        <f t="shared" si="10"/>
        <v>0</v>
      </c>
      <c r="J51" s="37"/>
      <c r="K51" s="23" t="s">
        <v>15</v>
      </c>
      <c r="L51" s="45"/>
      <c r="M51" s="20"/>
      <c r="N51" s="45"/>
      <c r="O51" s="20"/>
      <c r="P51" s="21"/>
      <c r="Q51" s="20"/>
      <c r="R51" s="22"/>
      <c r="S51" s="19">
        <f t="shared" si="11"/>
        <v>0</v>
      </c>
    </row>
    <row r="52" spans="1:21" hidden="1" outlineLevel="1">
      <c r="A52" s="23" t="s">
        <v>16</v>
      </c>
      <c r="B52" s="45"/>
      <c r="C52" s="20"/>
      <c r="D52" s="45"/>
      <c r="E52" s="20"/>
      <c r="F52" s="21"/>
      <c r="G52" s="20"/>
      <c r="H52" s="22"/>
      <c r="I52" s="19">
        <f t="shared" si="10"/>
        <v>0</v>
      </c>
      <c r="J52" s="37"/>
      <c r="K52" s="23" t="s">
        <v>16</v>
      </c>
      <c r="L52" s="45"/>
      <c r="M52" s="20"/>
      <c r="N52" s="45"/>
      <c r="O52" s="20"/>
      <c r="P52" s="21"/>
      <c r="Q52" s="20"/>
      <c r="R52" s="22"/>
      <c r="S52" s="19">
        <f t="shared" si="11"/>
        <v>0</v>
      </c>
    </row>
    <row r="53" spans="1:21" hidden="1" outlineLevel="1">
      <c r="A53" s="23" t="s">
        <v>17</v>
      </c>
      <c r="B53" s="45"/>
      <c r="C53" s="20"/>
      <c r="D53" s="45"/>
      <c r="E53" s="20"/>
      <c r="F53" s="21"/>
      <c r="G53" s="20"/>
      <c r="H53" s="22"/>
      <c r="I53" s="19">
        <f t="shared" si="10"/>
        <v>0</v>
      </c>
      <c r="J53" s="37"/>
      <c r="K53" s="23" t="s">
        <v>17</v>
      </c>
      <c r="L53" s="45"/>
      <c r="M53" s="20"/>
      <c r="N53" s="45"/>
      <c r="O53" s="20"/>
      <c r="P53" s="21"/>
      <c r="Q53" s="20"/>
      <c r="R53" s="22"/>
      <c r="S53" s="19">
        <f t="shared" si="11"/>
        <v>0</v>
      </c>
    </row>
    <row r="54" spans="1:21" ht="45" hidden="1" outlineLevel="1">
      <c r="A54" s="23" t="s">
        <v>18</v>
      </c>
      <c r="B54" s="45"/>
      <c r="C54" s="20"/>
      <c r="D54" s="45"/>
      <c r="E54" s="20"/>
      <c r="F54" s="21"/>
      <c r="G54" s="20"/>
      <c r="H54" s="22"/>
      <c r="I54" s="19">
        <f t="shared" si="10"/>
        <v>0</v>
      </c>
      <c r="J54" s="37"/>
      <c r="K54" s="23" t="s">
        <v>18</v>
      </c>
      <c r="L54" s="45"/>
      <c r="M54" s="20"/>
      <c r="N54" s="45"/>
      <c r="O54" s="20"/>
      <c r="P54" s="21"/>
      <c r="Q54" s="20"/>
      <c r="R54" s="22"/>
      <c r="S54" s="19">
        <f t="shared" si="11"/>
        <v>0</v>
      </c>
    </row>
    <row r="55" spans="1:21" ht="30" hidden="1" collapsed="1">
      <c r="A55" s="23" t="s">
        <v>19</v>
      </c>
      <c r="B55" s="45">
        <f t="shared" ref="B55:H55" si="12">L55-L41</f>
        <v>1141.8027861908731</v>
      </c>
      <c r="C55" s="20">
        <f t="shared" si="12"/>
        <v>62.189409829230527</v>
      </c>
      <c r="D55" s="45">
        <f t="shared" si="12"/>
        <v>241.23934867159181</v>
      </c>
      <c r="E55" s="20">
        <f t="shared" si="12"/>
        <v>38.99382605364022</v>
      </c>
      <c r="F55" s="21">
        <f t="shared" si="12"/>
        <v>0</v>
      </c>
      <c r="G55" s="20">
        <f t="shared" si="12"/>
        <v>97.250105621144215</v>
      </c>
      <c r="H55" s="22">
        <f t="shared" si="12"/>
        <v>94.339639953557906</v>
      </c>
      <c r="I55" s="19">
        <f t="shared" si="10"/>
        <v>1675.815116320038</v>
      </c>
      <c r="J55" s="37"/>
      <c r="K55" s="23" t="s">
        <v>19</v>
      </c>
      <c r="L55" s="45">
        <f>3685.81665988057</f>
        <v>3685.8166598805701</v>
      </c>
      <c r="M55" s="20">
        <f>187.031643690493*1.06</f>
        <v>198.25354231192262</v>
      </c>
      <c r="N55" s="45">
        <f>669.467186921588</f>
        <v>669.467186921588</v>
      </c>
      <c r="O55" s="20">
        <f>196.004972532467*1.06</f>
        <v>207.76527088441503</v>
      </c>
      <c r="P55" s="21">
        <v>0</v>
      </c>
      <c r="Q55" s="20">
        <f>91.7453826614568*1.06</f>
        <v>97.250105621144215</v>
      </c>
      <c r="R55" s="22">
        <f>88.9996603335452*1.06</f>
        <v>94.339639953557906</v>
      </c>
      <c r="S55" s="19">
        <f t="shared" si="11"/>
        <v>4952.8924055731977</v>
      </c>
    </row>
    <row r="56" spans="1:21" hidden="1">
      <c r="A56" s="25" t="s">
        <v>37</v>
      </c>
      <c r="B56" s="46">
        <f>SUM(B48:B55)</f>
        <v>4505.3550261218752</v>
      </c>
      <c r="C56" s="26">
        <f t="shared" ref="C56:H56" si="13">SUM(C48:C55)</f>
        <v>245.10967973032243</v>
      </c>
      <c r="D56" s="46">
        <f t="shared" si="13"/>
        <v>947.15919984330117</v>
      </c>
      <c r="E56" s="26">
        <f t="shared" si="13"/>
        <v>157.43084268254131</v>
      </c>
      <c r="F56" s="27">
        <f t="shared" si="13"/>
        <v>0</v>
      </c>
      <c r="G56" s="26">
        <f t="shared" si="13"/>
        <v>374.32128228012613</v>
      </c>
      <c r="H56" s="28">
        <f t="shared" si="13"/>
        <v>362.938356739406</v>
      </c>
      <c r="I56" s="29">
        <f>SUM(B56:H56)</f>
        <v>6592.3143873975723</v>
      </c>
      <c r="J56" s="37"/>
      <c r="K56" s="47" t="s">
        <v>37</v>
      </c>
      <c r="L56" s="46">
        <f>SUM(L48:L55)</f>
        <v>14182.051440829418</v>
      </c>
      <c r="M56" s="26">
        <f t="shared" ref="M56:R56" si="14">SUM(M48:M55)</f>
        <v>762.65847008183118</v>
      </c>
      <c r="N56" s="46">
        <f t="shared" si="14"/>
        <v>2576.0146199836472</v>
      </c>
      <c r="O56" s="26">
        <f t="shared" si="14"/>
        <v>799.38883355243399</v>
      </c>
      <c r="P56" s="27">
        <f t="shared" si="14"/>
        <v>0</v>
      </c>
      <c r="Q56" s="26">
        <f t="shared" si="14"/>
        <v>374.32128228012613</v>
      </c>
      <c r="R56" s="28">
        <f t="shared" si="14"/>
        <v>362.938356739406</v>
      </c>
      <c r="S56" s="29">
        <f>SUM(L56:R56)</f>
        <v>19057.373003466866</v>
      </c>
      <c r="U56" s="36"/>
    </row>
    <row r="57" spans="1:21" hidden="1"/>
    <row r="58" spans="1:21" hidden="1"/>
    <row r="59" spans="1:21" hidden="1"/>
    <row r="60" spans="1:21" s="33" customFormat="1" hidden="1">
      <c r="A60" s="1" t="s">
        <v>38</v>
      </c>
      <c r="B60" s="32"/>
      <c r="C60" s="32"/>
      <c r="D60" s="32"/>
      <c r="E60" s="32"/>
      <c r="F60" s="32"/>
      <c r="G60" s="32"/>
      <c r="H60" s="32"/>
      <c r="I60" s="2"/>
      <c r="K60" s="1" t="s">
        <v>39</v>
      </c>
      <c r="L60" s="32"/>
      <c r="M60" s="32"/>
      <c r="N60" s="32"/>
      <c r="O60" s="32"/>
      <c r="P60" s="32"/>
      <c r="Q60" s="32"/>
      <c r="R60" s="32"/>
      <c r="S60" s="2"/>
    </row>
    <row r="61" spans="1:21" hidden="1">
      <c r="A61" s="63" t="s">
        <v>40</v>
      </c>
      <c r="B61" s="55" t="s">
        <v>2</v>
      </c>
      <c r="C61" s="56"/>
      <c r="D61" s="56"/>
      <c r="E61" s="57"/>
      <c r="F61" s="58" t="s">
        <v>41</v>
      </c>
      <c r="G61" s="59"/>
      <c r="H61" s="60"/>
      <c r="I61" s="61" t="s">
        <v>42</v>
      </c>
      <c r="J61" s="37"/>
      <c r="K61" s="61" t="s">
        <v>40</v>
      </c>
      <c r="L61" s="55" t="s">
        <v>2</v>
      </c>
      <c r="M61" s="56"/>
      <c r="N61" s="56"/>
      <c r="O61" s="56"/>
      <c r="P61" s="58" t="s">
        <v>41</v>
      </c>
      <c r="Q61" s="59"/>
      <c r="R61" s="60"/>
      <c r="S61" s="61" t="s">
        <v>42</v>
      </c>
    </row>
    <row r="62" spans="1:21" s="7" customFormat="1" hidden="1">
      <c r="A62" s="64"/>
      <c r="B62" s="48" t="s">
        <v>5</v>
      </c>
      <c r="C62" s="4" t="s">
        <v>6</v>
      </c>
      <c r="D62" s="4" t="s">
        <v>7</v>
      </c>
      <c r="E62" s="4" t="s">
        <v>8</v>
      </c>
      <c r="F62" s="5" t="s">
        <v>9</v>
      </c>
      <c r="G62" s="4" t="s">
        <v>10</v>
      </c>
      <c r="H62" s="6" t="s">
        <v>11</v>
      </c>
      <c r="I62" s="62"/>
      <c r="J62" s="40"/>
      <c r="K62" s="62"/>
      <c r="L62" s="48" t="s">
        <v>5</v>
      </c>
      <c r="M62" s="4" t="s">
        <v>6</v>
      </c>
      <c r="N62" s="4" t="s">
        <v>7</v>
      </c>
      <c r="O62" s="4" t="s">
        <v>8</v>
      </c>
      <c r="P62" s="5" t="s">
        <v>9</v>
      </c>
      <c r="Q62" s="4" t="s">
        <v>10</v>
      </c>
      <c r="R62" s="6" t="s">
        <v>11</v>
      </c>
      <c r="S62" s="62"/>
    </row>
    <row r="63" spans="1:21" hidden="1">
      <c r="A63" s="8"/>
      <c r="B63" s="9">
        <f>L63</f>
        <v>0.70636976344364699</v>
      </c>
      <c r="C63" s="10">
        <f t="shared" ref="C63:H63" si="15">M63</f>
        <v>3.5831889226737502E-2</v>
      </c>
      <c r="D63" s="10">
        <f t="shared" si="15"/>
        <v>0.12830634760960599</v>
      </c>
      <c r="E63" s="10">
        <f t="shared" si="15"/>
        <v>3.7560837333260301E-2</v>
      </c>
      <c r="F63" s="34">
        <f t="shared" si="15"/>
        <v>0</v>
      </c>
      <c r="G63" s="10">
        <f t="shared" si="15"/>
        <v>1.7591602909556799E-2</v>
      </c>
      <c r="H63" s="35">
        <f t="shared" si="15"/>
        <v>1.70524613901883E-2</v>
      </c>
      <c r="I63" s="14"/>
      <c r="J63" s="37"/>
      <c r="K63" s="43"/>
      <c r="L63" s="9">
        <v>0.70636976344364699</v>
      </c>
      <c r="M63" s="10">
        <v>3.5831889226737502E-2</v>
      </c>
      <c r="N63" s="10">
        <v>0.12830634760960599</v>
      </c>
      <c r="O63" s="10">
        <v>3.7560837333260301E-2</v>
      </c>
      <c r="P63" s="34">
        <v>0</v>
      </c>
      <c r="Q63" s="10">
        <v>1.7591602909556799E-2</v>
      </c>
      <c r="R63" s="35">
        <v>1.70524613901883E-2</v>
      </c>
      <c r="S63" s="14"/>
    </row>
    <row r="64" spans="1:21" hidden="1">
      <c r="A64" s="15" t="s">
        <v>12</v>
      </c>
      <c r="B64" s="16">
        <f t="shared" ref="B64:H71" si="16">L64-L48</f>
        <v>2835.8918786855993</v>
      </c>
      <c r="C64" s="16">
        <f t="shared" si="16"/>
        <v>152.48711234512353</v>
      </c>
      <c r="D64" s="16">
        <f t="shared" si="16"/>
        <v>515.11679576431993</v>
      </c>
      <c r="E64" s="16">
        <f t="shared" si="16"/>
        <v>159.84486851840154</v>
      </c>
      <c r="F64" s="17">
        <f t="shared" si="16"/>
        <v>0</v>
      </c>
      <c r="G64" s="16">
        <f t="shared" si="16"/>
        <v>74.863279248997856</v>
      </c>
      <c r="H64" s="18">
        <f t="shared" si="16"/>
        <v>54.71594329047889</v>
      </c>
      <c r="I64" s="19">
        <f>SUM(B64:H64)</f>
        <v>3792.9198778529208</v>
      </c>
      <c r="J64" s="37"/>
      <c r="K64" s="15" t="s">
        <v>12</v>
      </c>
      <c r="L64" s="16">
        <v>12325.478774851799</v>
      </c>
      <c r="M64" s="16">
        <f>625.232297563126*1.06</f>
        <v>662.74623541691369</v>
      </c>
      <c r="N64" s="16">
        <v>2238.82341230355</v>
      </c>
      <c r="O64" s="16">
        <f>655.40079328961*1.06</f>
        <v>694.72484088698661</v>
      </c>
      <c r="P64" s="17">
        <v>0</v>
      </c>
      <c r="Q64" s="16">
        <f>306.956695343686*1.06</f>
        <v>325.37409706430719</v>
      </c>
      <c r="R64" s="18">
        <f>297.549189958374</f>
        <v>297.54918995837397</v>
      </c>
      <c r="S64" s="19">
        <f>SUM(L64:R64)</f>
        <v>16544.696550481931</v>
      </c>
    </row>
    <row r="65" spans="1:21" hidden="1">
      <c r="A65" s="15" t="s">
        <v>13</v>
      </c>
      <c r="B65" s="20">
        <f t="shared" si="16"/>
        <v>323.72777696629009</v>
      </c>
      <c r="C65" s="20">
        <f t="shared" si="16"/>
        <v>17.412743077245331</v>
      </c>
      <c r="D65" s="20">
        <f t="shared" si="16"/>
        <v>58.799757061444012</v>
      </c>
      <c r="E65" s="20">
        <f t="shared" si="16"/>
        <v>18.248164648642543</v>
      </c>
      <c r="F65" s="21">
        <f t="shared" si="16"/>
        <v>0</v>
      </c>
      <c r="G65" s="20">
        <f t="shared" si="16"/>
        <v>8.5415427319409822</v>
      </c>
      <c r="H65" s="22">
        <f t="shared" si="16"/>
        <v>6.3584776899957376</v>
      </c>
      <c r="I65" s="19">
        <f t="shared" ref="I65:I71" si="17">SUM(B65:H65)</f>
        <v>433.08846217555879</v>
      </c>
      <c r="J65" s="37"/>
      <c r="K65" s="15" t="s">
        <v>13</v>
      </c>
      <c r="L65" s="20">
        <v>1330.37566174894</v>
      </c>
      <c r="M65" s="20">
        <f>67.5080639390224*1.06</f>
        <v>71.558547775363749</v>
      </c>
      <c r="N65" s="20">
        <v>241.640573584273</v>
      </c>
      <c r="O65" s="20">
        <f>70.7469386302608*1.06</f>
        <v>74.991754948076448</v>
      </c>
      <c r="P65" s="21">
        <v>0</v>
      </c>
      <c r="Q65" s="20">
        <f>33.1150014864279*1.06</f>
        <v>35.101901575613574</v>
      </c>
      <c r="R65" s="22">
        <f>32.1239478079487</f>
        <v>32.123947807948703</v>
      </c>
      <c r="S65" s="19">
        <f t="shared" ref="S65:S71" si="18">SUM(L65:R65)</f>
        <v>1785.7923874402154</v>
      </c>
    </row>
    <row r="66" spans="1:21" hidden="1" outlineLevel="1">
      <c r="A66" s="15" t="s">
        <v>14</v>
      </c>
      <c r="B66" s="20">
        <f t="shared" si="16"/>
        <v>0</v>
      </c>
      <c r="C66" s="20">
        <f t="shared" si="16"/>
        <v>0</v>
      </c>
      <c r="D66" s="20">
        <f t="shared" si="16"/>
        <v>0</v>
      </c>
      <c r="E66" s="20">
        <f t="shared" si="16"/>
        <v>0</v>
      </c>
      <c r="F66" s="21">
        <f t="shared" si="16"/>
        <v>0</v>
      </c>
      <c r="G66" s="20">
        <f t="shared" si="16"/>
        <v>0</v>
      </c>
      <c r="H66" s="22">
        <f t="shared" si="16"/>
        <v>0</v>
      </c>
      <c r="I66" s="19">
        <f t="shared" si="17"/>
        <v>0</v>
      </c>
      <c r="J66" s="37"/>
      <c r="K66" s="15" t="s">
        <v>14</v>
      </c>
      <c r="L66" s="20"/>
      <c r="M66" s="20"/>
      <c r="N66" s="20"/>
      <c r="O66" s="20"/>
      <c r="P66" s="21"/>
      <c r="Q66" s="20"/>
      <c r="R66" s="22"/>
      <c r="S66" s="19">
        <f t="shared" si="18"/>
        <v>0</v>
      </c>
    </row>
    <row r="67" spans="1:21" hidden="1" outlineLevel="1">
      <c r="A67" s="23" t="s">
        <v>15</v>
      </c>
      <c r="B67" s="20">
        <f t="shared" si="16"/>
        <v>0</v>
      </c>
      <c r="C67" s="20">
        <f t="shared" si="16"/>
        <v>0</v>
      </c>
      <c r="D67" s="20">
        <f t="shared" si="16"/>
        <v>0</v>
      </c>
      <c r="E67" s="20">
        <f t="shared" si="16"/>
        <v>0</v>
      </c>
      <c r="F67" s="21">
        <f t="shared" si="16"/>
        <v>0</v>
      </c>
      <c r="G67" s="20">
        <f t="shared" si="16"/>
        <v>0</v>
      </c>
      <c r="H67" s="22">
        <f t="shared" si="16"/>
        <v>0</v>
      </c>
      <c r="I67" s="19">
        <f t="shared" si="17"/>
        <v>0</v>
      </c>
      <c r="J67" s="37"/>
      <c r="K67" s="23" t="s">
        <v>15</v>
      </c>
      <c r="L67" s="20"/>
      <c r="M67" s="20"/>
      <c r="N67" s="20"/>
      <c r="O67" s="20"/>
      <c r="P67" s="21"/>
      <c r="Q67" s="20"/>
      <c r="R67" s="22"/>
      <c r="S67" s="19">
        <f t="shared" si="18"/>
        <v>0</v>
      </c>
    </row>
    <row r="68" spans="1:21" hidden="1" outlineLevel="1">
      <c r="A68" s="23" t="s">
        <v>16</v>
      </c>
      <c r="B68" s="20">
        <f t="shared" si="16"/>
        <v>0</v>
      </c>
      <c r="C68" s="20">
        <f t="shared" si="16"/>
        <v>0</v>
      </c>
      <c r="D68" s="20">
        <f t="shared" si="16"/>
        <v>0</v>
      </c>
      <c r="E68" s="20">
        <f t="shared" si="16"/>
        <v>0</v>
      </c>
      <c r="F68" s="21">
        <f t="shared" si="16"/>
        <v>0</v>
      </c>
      <c r="G68" s="20">
        <f t="shared" si="16"/>
        <v>0</v>
      </c>
      <c r="H68" s="22">
        <f t="shared" si="16"/>
        <v>0</v>
      </c>
      <c r="I68" s="19">
        <f t="shared" si="17"/>
        <v>0</v>
      </c>
      <c r="J68" s="37"/>
      <c r="K68" s="23" t="s">
        <v>16</v>
      </c>
      <c r="L68" s="20"/>
      <c r="M68" s="20"/>
      <c r="N68" s="20"/>
      <c r="O68" s="20"/>
      <c r="P68" s="21"/>
      <c r="Q68" s="20"/>
      <c r="R68" s="22"/>
      <c r="S68" s="19">
        <f t="shared" si="18"/>
        <v>0</v>
      </c>
    </row>
    <row r="69" spans="1:21" hidden="1" outlineLevel="1">
      <c r="A69" s="23" t="s">
        <v>17</v>
      </c>
      <c r="B69" s="20">
        <f t="shared" si="16"/>
        <v>0</v>
      </c>
      <c r="C69" s="20">
        <f t="shared" si="16"/>
        <v>0</v>
      </c>
      <c r="D69" s="20">
        <f t="shared" si="16"/>
        <v>0</v>
      </c>
      <c r="E69" s="20">
        <f t="shared" si="16"/>
        <v>0</v>
      </c>
      <c r="F69" s="21">
        <f t="shared" si="16"/>
        <v>0</v>
      </c>
      <c r="G69" s="20">
        <f t="shared" si="16"/>
        <v>0</v>
      </c>
      <c r="H69" s="22">
        <f t="shared" si="16"/>
        <v>0</v>
      </c>
      <c r="I69" s="19">
        <f t="shared" si="17"/>
        <v>0</v>
      </c>
      <c r="J69" s="37"/>
      <c r="K69" s="23" t="s">
        <v>17</v>
      </c>
      <c r="L69" s="20"/>
      <c r="M69" s="20"/>
      <c r="N69" s="20"/>
      <c r="O69" s="20"/>
      <c r="P69" s="21"/>
      <c r="Q69" s="20"/>
      <c r="R69" s="22"/>
      <c r="S69" s="19">
        <f t="shared" si="18"/>
        <v>0</v>
      </c>
    </row>
    <row r="70" spans="1:21" ht="45" hidden="1" outlineLevel="1">
      <c r="A70" s="23" t="s">
        <v>18</v>
      </c>
      <c r="B70" s="20">
        <f t="shared" si="16"/>
        <v>0</v>
      </c>
      <c r="C70" s="20">
        <f t="shared" si="16"/>
        <v>0</v>
      </c>
      <c r="D70" s="20">
        <f t="shared" si="16"/>
        <v>0</v>
      </c>
      <c r="E70" s="20">
        <f t="shared" si="16"/>
        <v>0</v>
      </c>
      <c r="F70" s="21">
        <f t="shared" si="16"/>
        <v>0</v>
      </c>
      <c r="G70" s="20">
        <f t="shared" si="16"/>
        <v>0</v>
      </c>
      <c r="H70" s="22">
        <f t="shared" si="16"/>
        <v>0</v>
      </c>
      <c r="I70" s="19">
        <f t="shared" si="17"/>
        <v>0</v>
      </c>
      <c r="J70" s="37"/>
      <c r="K70" s="23" t="s">
        <v>18</v>
      </c>
      <c r="L70" s="20"/>
      <c r="M70" s="20"/>
      <c r="N70" s="20"/>
      <c r="O70" s="20"/>
      <c r="P70" s="21"/>
      <c r="Q70" s="20"/>
      <c r="R70" s="22"/>
      <c r="S70" s="19">
        <f t="shared" si="18"/>
        <v>0</v>
      </c>
    </row>
    <row r="71" spans="1:21" ht="30" hidden="1" collapsed="1">
      <c r="A71" s="23" t="s">
        <v>19</v>
      </c>
      <c r="B71" s="20">
        <f t="shared" si="16"/>
        <v>1310.7600046531998</v>
      </c>
      <c r="C71" s="20">
        <f t="shared" si="16"/>
        <v>70.503456363373687</v>
      </c>
      <c r="D71" s="20">
        <f t="shared" si="16"/>
        <v>238.07771628905095</v>
      </c>
      <c r="E71" s="20">
        <f t="shared" si="16"/>
        <v>73.886042785440793</v>
      </c>
      <c r="F71" s="21">
        <f t="shared" si="16"/>
        <v>0</v>
      </c>
      <c r="G71" s="20">
        <f t="shared" si="16"/>
        <v>34.584343351636889</v>
      </c>
      <c r="H71" s="22">
        <f t="shared" si="16"/>
        <v>26.310318253650095</v>
      </c>
      <c r="I71" s="19">
        <f t="shared" si="17"/>
        <v>1754.1218816963524</v>
      </c>
      <c r="J71" s="37"/>
      <c r="K71" s="23" t="s">
        <v>19</v>
      </c>
      <c r="L71" s="20">
        <v>4996.5766645337699</v>
      </c>
      <c r="M71" s="20">
        <f>253.544338372921*1.06</f>
        <v>268.7569986752963</v>
      </c>
      <c r="N71" s="20">
        <v>907.54490321063895</v>
      </c>
      <c r="O71" s="20">
        <f>265.708786480996*1.06</f>
        <v>281.65131366985582</v>
      </c>
      <c r="P71" s="21">
        <v>0</v>
      </c>
      <c r="Q71" s="20">
        <f>124.372121672435*1.06</f>
        <v>131.8344489727811</v>
      </c>
      <c r="R71" s="22">
        <f>120.649958207208</f>
        <v>120.649958207208</v>
      </c>
      <c r="S71" s="19">
        <f t="shared" si="18"/>
        <v>6707.0142872695506</v>
      </c>
    </row>
    <row r="72" spans="1:21" hidden="1">
      <c r="A72" s="25" t="s">
        <v>43</v>
      </c>
      <c r="B72" s="26">
        <f>SUM(B64:B71)</f>
        <v>4470.3796603050887</v>
      </c>
      <c r="C72" s="26">
        <f t="shared" ref="C72:H72" si="19">SUM(C64:C71)</f>
        <v>240.40331178574255</v>
      </c>
      <c r="D72" s="26">
        <f t="shared" si="19"/>
        <v>811.99426911481487</v>
      </c>
      <c r="E72" s="26">
        <f t="shared" si="19"/>
        <v>251.97907595248489</v>
      </c>
      <c r="F72" s="27">
        <f t="shared" si="19"/>
        <v>0</v>
      </c>
      <c r="G72" s="26">
        <f t="shared" si="19"/>
        <v>117.98916533257572</v>
      </c>
      <c r="H72" s="28">
        <f t="shared" si="19"/>
        <v>87.384739234124723</v>
      </c>
      <c r="I72" s="29">
        <f>SUM(B72:H72)</f>
        <v>5980.1302217248312</v>
      </c>
      <c r="J72" s="37"/>
      <c r="K72" s="47" t="s">
        <v>43</v>
      </c>
      <c r="L72" s="26">
        <f>SUM(L64:L71)</f>
        <v>18652.431101134509</v>
      </c>
      <c r="M72" s="26">
        <f t="shared" ref="M72:R72" si="20">SUM(M64:M71)</f>
        <v>1003.0617818675737</v>
      </c>
      <c r="N72" s="26">
        <f t="shared" si="20"/>
        <v>3388.0088890984621</v>
      </c>
      <c r="O72" s="26">
        <f t="shared" si="20"/>
        <v>1051.367909504919</v>
      </c>
      <c r="P72" s="27">
        <f t="shared" si="20"/>
        <v>0</v>
      </c>
      <c r="Q72" s="26">
        <f t="shared" si="20"/>
        <v>492.31044761270186</v>
      </c>
      <c r="R72" s="28">
        <f t="shared" si="20"/>
        <v>450.32309597353066</v>
      </c>
      <c r="S72" s="29">
        <f>SUM(L72:R72)</f>
        <v>25037.503225191696</v>
      </c>
      <c r="U72" s="36"/>
    </row>
    <row r="73" spans="1:21" hidden="1">
      <c r="A73" s="30"/>
      <c r="B73" s="31"/>
      <c r="C73" s="31"/>
      <c r="D73" s="31"/>
      <c r="E73" s="31"/>
      <c r="F73" s="31"/>
      <c r="G73" s="31"/>
      <c r="H73" s="31"/>
      <c r="I73" s="31"/>
      <c r="J73" s="37"/>
      <c r="K73" s="49"/>
      <c r="L73" s="31"/>
      <c r="M73" s="31"/>
      <c r="N73" s="31"/>
      <c r="O73" s="31"/>
      <c r="P73" s="31"/>
      <c r="Q73" s="31"/>
      <c r="R73" s="31"/>
      <c r="S73" s="31"/>
      <c r="U73" s="36"/>
    </row>
    <row r="74" spans="1:21" hidden="1" outlineLevel="1"/>
    <row r="75" spans="1:21" s="33" customFormat="1" hidden="1" outlineLevel="1">
      <c r="A75" s="1" t="s">
        <v>44</v>
      </c>
      <c r="B75" s="32"/>
      <c r="C75" s="32"/>
      <c r="D75" s="32"/>
      <c r="E75" s="32"/>
      <c r="F75" s="32"/>
      <c r="G75" s="32"/>
      <c r="H75" s="32"/>
      <c r="I75" s="2"/>
      <c r="K75" s="1" t="s">
        <v>45</v>
      </c>
      <c r="L75" s="32"/>
      <c r="M75" s="32"/>
      <c r="N75" s="32"/>
      <c r="O75" s="32"/>
      <c r="P75" s="32"/>
      <c r="Q75" s="32"/>
      <c r="R75" s="32"/>
      <c r="S75" s="2"/>
    </row>
    <row r="76" spans="1:21" hidden="1" outlineLevel="1">
      <c r="A76" s="63" t="s">
        <v>1</v>
      </c>
      <c r="B76" s="55" t="s">
        <v>46</v>
      </c>
      <c r="C76" s="56"/>
      <c r="D76" s="56"/>
      <c r="E76" s="57"/>
      <c r="F76" s="59" t="s">
        <v>47</v>
      </c>
      <c r="G76" s="59"/>
      <c r="H76" s="60"/>
      <c r="I76" s="61" t="s">
        <v>48</v>
      </c>
      <c r="J76" s="37"/>
      <c r="K76" s="61" t="s">
        <v>1</v>
      </c>
      <c r="L76" s="55" t="s">
        <v>46</v>
      </c>
      <c r="M76" s="56"/>
      <c r="N76" s="56"/>
      <c r="O76" s="57"/>
      <c r="P76" s="58" t="s">
        <v>47</v>
      </c>
      <c r="Q76" s="59"/>
      <c r="R76" s="60"/>
      <c r="S76" s="61" t="s">
        <v>48</v>
      </c>
    </row>
    <row r="77" spans="1:21" s="7" customFormat="1" hidden="1" outlineLevel="1">
      <c r="A77" s="64"/>
      <c r="B77" s="48" t="s">
        <v>5</v>
      </c>
      <c r="C77" s="4" t="s">
        <v>6</v>
      </c>
      <c r="D77" s="4" t="s">
        <v>7</v>
      </c>
      <c r="E77" s="6" t="s">
        <v>8</v>
      </c>
      <c r="F77" s="4" t="s">
        <v>9</v>
      </c>
      <c r="G77" s="4" t="s">
        <v>49</v>
      </c>
      <c r="H77" s="6" t="s">
        <v>11</v>
      </c>
      <c r="I77" s="62"/>
      <c r="J77" s="40"/>
      <c r="K77" s="62"/>
      <c r="L77" s="48" t="s">
        <v>5</v>
      </c>
      <c r="M77" s="4" t="s">
        <v>6</v>
      </c>
      <c r="N77" s="4" t="s">
        <v>7</v>
      </c>
      <c r="O77" s="6" t="s">
        <v>8</v>
      </c>
      <c r="P77" s="5" t="s">
        <v>9</v>
      </c>
      <c r="Q77" s="4" t="s">
        <v>49</v>
      </c>
      <c r="R77" s="6" t="s">
        <v>11</v>
      </c>
      <c r="S77" s="62"/>
    </row>
    <row r="78" spans="1:21" hidden="1" outlineLevel="1">
      <c r="A78" s="8"/>
      <c r="B78" s="50">
        <f>L78</f>
        <v>0.70636976344364699</v>
      </c>
      <c r="C78" s="10">
        <f t="shared" ref="C78:H78" si="21">M78</f>
        <v>3.5831889226737502E-2</v>
      </c>
      <c r="D78" s="10">
        <f t="shared" si="21"/>
        <v>0.12830634760960599</v>
      </c>
      <c r="E78" s="35">
        <f t="shared" si="21"/>
        <v>3.7560837333260301E-2</v>
      </c>
      <c r="F78" s="10">
        <f t="shared" si="21"/>
        <v>0</v>
      </c>
      <c r="G78" s="10">
        <f t="shared" si="21"/>
        <v>1.7591602909556799E-2</v>
      </c>
      <c r="H78" s="35">
        <f t="shared" si="21"/>
        <v>1.70524613901883E-2</v>
      </c>
      <c r="I78" s="14"/>
      <c r="J78" s="37"/>
      <c r="K78" s="43"/>
      <c r="L78" s="50">
        <v>0.70636976344364699</v>
      </c>
      <c r="M78" s="10">
        <v>3.5831889226737502E-2</v>
      </c>
      <c r="N78" s="10">
        <v>0.12830634760960599</v>
      </c>
      <c r="O78" s="35">
        <v>3.7560837333260301E-2</v>
      </c>
      <c r="P78" s="34">
        <v>0</v>
      </c>
      <c r="Q78" s="10">
        <v>1.7591602909556799E-2</v>
      </c>
      <c r="R78" s="35">
        <v>1.70524613901883E-2</v>
      </c>
      <c r="S78" s="14"/>
    </row>
    <row r="79" spans="1:21" hidden="1" outlineLevel="1">
      <c r="A79" s="15" t="s">
        <v>12</v>
      </c>
      <c r="B79" s="17">
        <f>L79-L64</f>
        <v>2617.9211122565193</v>
      </c>
      <c r="C79" s="16">
        <f t="shared" ref="C79:H86" si="22">M79-M64</f>
        <v>-190.36837980379966</v>
      </c>
      <c r="D79" s="16">
        <f t="shared" si="22"/>
        <v>-416.45669732522447</v>
      </c>
      <c r="E79" s="18">
        <f t="shared" si="22"/>
        <v>-570.55758603309357</v>
      </c>
      <c r="F79" s="16">
        <f t="shared" si="22"/>
        <v>0</v>
      </c>
      <c r="G79" s="16">
        <f t="shared" si="22"/>
        <v>726.15672797555783</v>
      </c>
      <c r="H79" s="16">
        <f t="shared" si="22"/>
        <v>364.60458510682395</v>
      </c>
      <c r="I79" s="19">
        <f>SUM(B79:H79)</f>
        <v>2531.2997621767831</v>
      </c>
      <c r="J79" s="37"/>
      <c r="K79" s="15" t="s">
        <v>12</v>
      </c>
      <c r="L79" s="21">
        <f>L87*63.2%</f>
        <v>14943.399887108319</v>
      </c>
      <c r="M79" s="16">
        <f t="shared" ref="M79:R79" si="23">M87*63.2%</f>
        <v>472.37785561311404</v>
      </c>
      <c r="N79" s="16">
        <f t="shared" si="23"/>
        <v>1822.3667149783255</v>
      </c>
      <c r="O79" s="18">
        <f>O87*63.2%</f>
        <v>124.16725485389303</v>
      </c>
      <c r="P79" s="17"/>
      <c r="Q79" s="16">
        <f t="shared" si="23"/>
        <v>1051.530825039865</v>
      </c>
      <c r="R79" s="18">
        <f t="shared" si="23"/>
        <v>662.15377506519792</v>
      </c>
      <c r="S79" s="19">
        <f>SUM(L79:R79)</f>
        <v>19075.996312658717</v>
      </c>
    </row>
    <row r="80" spans="1:21" hidden="1" outlineLevel="1">
      <c r="A80" s="15" t="s">
        <v>13</v>
      </c>
      <c r="B80" s="17">
        <f t="shared" ref="B80:B86" si="24">L80-L65</f>
        <v>1081.3755858539846</v>
      </c>
      <c r="C80" s="16">
        <f t="shared" si="22"/>
        <v>4.6796504406767951</v>
      </c>
      <c r="D80" s="16">
        <f t="shared" si="22"/>
        <v>52.475573453368099</v>
      </c>
      <c r="E80" s="18">
        <f t="shared" si="22"/>
        <v>-54.952103057100047</v>
      </c>
      <c r="F80" s="16">
        <f t="shared" si="22"/>
        <v>0</v>
      </c>
      <c r="G80" s="16">
        <f t="shared" si="22"/>
        <v>134.60718727575704</v>
      </c>
      <c r="H80" s="16">
        <f t="shared" si="22"/>
        <v>74.742642471561084</v>
      </c>
      <c r="I80" s="19">
        <f t="shared" ref="I80:I86" si="25">SUM(B80:H80)</f>
        <v>1292.9285364382476</v>
      </c>
      <c r="J80" s="37"/>
      <c r="K80" s="15" t="s">
        <v>13</v>
      </c>
      <c r="L80" s="21">
        <f>L87*10.2%</f>
        <v>2411.7512476029246</v>
      </c>
      <c r="M80" s="20">
        <f t="shared" ref="M80:R80" si="26">M87*10.2%</f>
        <v>76.238198216040544</v>
      </c>
      <c r="N80" s="20">
        <f t="shared" si="26"/>
        <v>294.1161470376411</v>
      </c>
      <c r="O80" s="22">
        <f t="shared" si="26"/>
        <v>20.039651890976405</v>
      </c>
      <c r="P80" s="21"/>
      <c r="Q80" s="20">
        <f t="shared" si="26"/>
        <v>169.70908885137061</v>
      </c>
      <c r="R80" s="22">
        <f t="shared" si="26"/>
        <v>106.86659027950978</v>
      </c>
      <c r="S80" s="19">
        <f t="shared" ref="S80:S86" si="27">SUM(L80:R80)</f>
        <v>3078.7209238784631</v>
      </c>
    </row>
    <row r="81" spans="1:21" hidden="1" outlineLevel="1">
      <c r="A81" s="15" t="s">
        <v>14</v>
      </c>
      <c r="B81" s="17">
        <f t="shared" si="24"/>
        <v>0</v>
      </c>
      <c r="C81" s="16">
        <f t="shared" si="22"/>
        <v>0</v>
      </c>
      <c r="D81" s="16">
        <f t="shared" si="22"/>
        <v>0</v>
      </c>
      <c r="E81" s="18">
        <f t="shared" si="22"/>
        <v>0</v>
      </c>
      <c r="F81" s="16">
        <f t="shared" si="22"/>
        <v>0</v>
      </c>
      <c r="G81" s="16">
        <f t="shared" si="22"/>
        <v>0</v>
      </c>
      <c r="H81" s="16">
        <f t="shared" si="22"/>
        <v>0</v>
      </c>
      <c r="I81" s="19">
        <f t="shared" si="25"/>
        <v>0</v>
      </c>
      <c r="J81" s="37"/>
      <c r="K81" s="15" t="s">
        <v>14</v>
      </c>
      <c r="L81" s="21"/>
      <c r="M81" s="20"/>
      <c r="N81" s="20"/>
      <c r="O81" s="22"/>
      <c r="P81" s="21"/>
      <c r="Q81" s="20"/>
      <c r="R81" s="22"/>
      <c r="S81" s="19">
        <f t="shared" si="27"/>
        <v>0</v>
      </c>
    </row>
    <row r="82" spans="1:21" hidden="1" outlineLevel="1">
      <c r="A82" s="23" t="s">
        <v>15</v>
      </c>
      <c r="B82" s="17">
        <f t="shared" si="24"/>
        <v>0</v>
      </c>
      <c r="C82" s="16">
        <f t="shared" si="22"/>
        <v>0</v>
      </c>
      <c r="D82" s="16">
        <f t="shared" si="22"/>
        <v>0</v>
      </c>
      <c r="E82" s="18">
        <f t="shared" si="22"/>
        <v>0</v>
      </c>
      <c r="F82" s="16">
        <f t="shared" si="22"/>
        <v>0</v>
      </c>
      <c r="G82" s="16">
        <f t="shared" si="22"/>
        <v>0</v>
      </c>
      <c r="H82" s="16">
        <f t="shared" si="22"/>
        <v>0</v>
      </c>
      <c r="I82" s="19">
        <f t="shared" si="25"/>
        <v>0</v>
      </c>
      <c r="J82" s="37"/>
      <c r="K82" s="23" t="s">
        <v>15</v>
      </c>
      <c r="L82" s="21"/>
      <c r="M82" s="20"/>
      <c r="N82" s="20"/>
      <c r="O82" s="22"/>
      <c r="P82" s="21"/>
      <c r="Q82" s="20"/>
      <c r="R82" s="22"/>
      <c r="S82" s="19">
        <f t="shared" si="27"/>
        <v>0</v>
      </c>
    </row>
    <row r="83" spans="1:21" hidden="1" outlineLevel="1">
      <c r="A83" s="23" t="s">
        <v>16</v>
      </c>
      <c r="B83" s="17">
        <f t="shared" si="24"/>
        <v>0</v>
      </c>
      <c r="C83" s="16">
        <f t="shared" si="22"/>
        <v>0</v>
      </c>
      <c r="D83" s="16">
        <f t="shared" si="22"/>
        <v>0</v>
      </c>
      <c r="E83" s="18">
        <f t="shared" si="22"/>
        <v>0</v>
      </c>
      <c r="F83" s="16">
        <f t="shared" si="22"/>
        <v>0</v>
      </c>
      <c r="G83" s="16">
        <f t="shared" si="22"/>
        <v>0</v>
      </c>
      <c r="H83" s="16">
        <f t="shared" si="22"/>
        <v>0</v>
      </c>
      <c r="I83" s="19">
        <f t="shared" si="25"/>
        <v>0</v>
      </c>
      <c r="J83" s="37"/>
      <c r="K83" s="23" t="s">
        <v>16</v>
      </c>
      <c r="L83" s="21"/>
      <c r="M83" s="20"/>
      <c r="N83" s="20"/>
      <c r="O83" s="22"/>
      <c r="P83" s="21"/>
      <c r="Q83" s="20"/>
      <c r="R83" s="22"/>
      <c r="S83" s="19">
        <f t="shared" si="27"/>
        <v>0</v>
      </c>
    </row>
    <row r="84" spans="1:21" hidden="1" outlineLevel="1">
      <c r="A84" s="23" t="s">
        <v>17</v>
      </c>
      <c r="B84" s="17">
        <f t="shared" si="24"/>
        <v>0</v>
      </c>
      <c r="C84" s="16">
        <f t="shared" si="22"/>
        <v>0</v>
      </c>
      <c r="D84" s="16">
        <f t="shared" si="22"/>
        <v>0</v>
      </c>
      <c r="E84" s="18">
        <f t="shared" si="22"/>
        <v>0</v>
      </c>
      <c r="F84" s="16">
        <f t="shared" si="22"/>
        <v>0</v>
      </c>
      <c r="G84" s="16">
        <f t="shared" si="22"/>
        <v>0</v>
      </c>
      <c r="H84" s="16">
        <f t="shared" si="22"/>
        <v>0</v>
      </c>
      <c r="I84" s="19">
        <f t="shared" si="25"/>
        <v>0</v>
      </c>
      <c r="J84" s="37"/>
      <c r="K84" s="23" t="s">
        <v>17</v>
      </c>
      <c r="L84" s="21"/>
      <c r="M84" s="20"/>
      <c r="N84" s="20"/>
      <c r="O84" s="22"/>
      <c r="P84" s="21"/>
      <c r="Q84" s="20"/>
      <c r="R84" s="22"/>
      <c r="S84" s="19">
        <f t="shared" si="27"/>
        <v>0</v>
      </c>
    </row>
    <row r="85" spans="1:21" ht="45" hidden="1" outlineLevel="1">
      <c r="A85" s="23" t="s">
        <v>18</v>
      </c>
      <c r="B85" s="17">
        <f t="shared" si="24"/>
        <v>0</v>
      </c>
      <c r="C85" s="16">
        <f t="shared" si="22"/>
        <v>0</v>
      </c>
      <c r="D85" s="16">
        <f t="shared" si="22"/>
        <v>0</v>
      </c>
      <c r="E85" s="18">
        <f t="shared" si="22"/>
        <v>0</v>
      </c>
      <c r="F85" s="16">
        <f t="shared" si="22"/>
        <v>0</v>
      </c>
      <c r="G85" s="16">
        <f t="shared" si="22"/>
        <v>0</v>
      </c>
      <c r="H85" s="16">
        <f t="shared" si="22"/>
        <v>0</v>
      </c>
      <c r="I85" s="19">
        <f t="shared" si="25"/>
        <v>0</v>
      </c>
      <c r="J85" s="37"/>
      <c r="K85" s="23" t="s">
        <v>18</v>
      </c>
      <c r="L85" s="21"/>
      <c r="M85" s="20"/>
      <c r="N85" s="20"/>
      <c r="O85" s="22"/>
      <c r="P85" s="21"/>
      <c r="Q85" s="20"/>
      <c r="R85" s="22"/>
      <c r="S85" s="19">
        <f t="shared" si="27"/>
        <v>0</v>
      </c>
    </row>
    <row r="86" spans="1:21" ht="30" hidden="1" outlineLevel="1" collapsed="1">
      <c r="A86" s="23" t="s">
        <v>19</v>
      </c>
      <c r="B86" s="17">
        <f t="shared" si="24"/>
        <v>1292.8922752934659</v>
      </c>
      <c r="C86" s="16">
        <f t="shared" si="22"/>
        <v>-69.939736660916026</v>
      </c>
      <c r="D86" s="16">
        <f t="shared" si="22"/>
        <v>-140.53612760267288</v>
      </c>
      <c r="E86" s="18">
        <f t="shared" si="22"/>
        <v>-229.39104501299579</v>
      </c>
      <c r="F86" s="16">
        <f t="shared" si="22"/>
        <v>0</v>
      </c>
      <c r="G86" s="16">
        <f t="shared" si="22"/>
        <v>310.74023371804822</v>
      </c>
      <c r="H86" s="16">
        <f t="shared" si="22"/>
        <v>158.04134585504301</v>
      </c>
      <c r="I86" s="19">
        <f t="shared" si="25"/>
        <v>1321.8069455899722</v>
      </c>
      <c r="J86" s="37"/>
      <c r="K86" s="23" t="s">
        <v>19</v>
      </c>
      <c r="L86" s="21">
        <f>L87*26.6%</f>
        <v>6289.4689398272358</v>
      </c>
      <c r="M86" s="20">
        <f t="shared" ref="M86:R86" si="28">M87*26.6%</f>
        <v>198.81726201438028</v>
      </c>
      <c r="N86" s="20">
        <f t="shared" si="28"/>
        <v>767.00877560796607</v>
      </c>
      <c r="O86" s="22">
        <f t="shared" si="28"/>
        <v>52.260268656860042</v>
      </c>
      <c r="P86" s="21"/>
      <c r="Q86" s="20">
        <f t="shared" si="28"/>
        <v>442.57468269082932</v>
      </c>
      <c r="R86" s="22">
        <f t="shared" si="28"/>
        <v>278.69130406225099</v>
      </c>
      <c r="S86" s="19">
        <f t="shared" si="27"/>
        <v>8028.8212328595228</v>
      </c>
    </row>
    <row r="87" spans="1:21" hidden="1" outlineLevel="1">
      <c r="A87" s="25" t="s">
        <v>20</v>
      </c>
      <c r="B87" s="27">
        <f>SUM(B79:B86)</f>
        <v>4992.1889734039696</v>
      </c>
      <c r="C87" s="26">
        <f t="shared" ref="C87:H87" si="29">SUM(C79:C86)</f>
        <v>-255.62846602403889</v>
      </c>
      <c r="D87" s="26">
        <f t="shared" si="29"/>
        <v>-504.51725147452925</v>
      </c>
      <c r="E87" s="28">
        <f t="shared" si="29"/>
        <v>-854.90073410318951</v>
      </c>
      <c r="F87" s="26">
        <f t="shared" si="29"/>
        <v>0</v>
      </c>
      <c r="G87" s="26">
        <f t="shared" si="29"/>
        <v>1171.5041489693631</v>
      </c>
      <c r="H87" s="28">
        <f t="shared" si="29"/>
        <v>597.38857343342806</v>
      </c>
      <c r="I87" s="29">
        <f>SUM(B87:H87)</f>
        <v>5146.0352442050034</v>
      </c>
      <c r="J87" s="37"/>
      <c r="K87" s="47" t="s">
        <v>20</v>
      </c>
      <c r="L87" s="27">
        <f>'[1]P6 recharge'!L12</f>
        <v>23644.620074538478</v>
      </c>
      <c r="M87" s="26">
        <f>'[1]P6 recharge'!L13</f>
        <v>747.43331584353484</v>
      </c>
      <c r="N87" s="26">
        <f>'[1]P6 recharge'!L14</f>
        <v>2883.4916376239325</v>
      </c>
      <c r="O87" s="28">
        <f>'[1]P6 recharge'!L16</f>
        <v>196.46717540172946</v>
      </c>
      <c r="P87" s="27">
        <f t="shared" ref="P87" si="30">SUM(P79:P86)</f>
        <v>0</v>
      </c>
      <c r="Q87" s="26">
        <f>'[1]P6 recharge'!L17</f>
        <v>1663.814596582065</v>
      </c>
      <c r="R87" s="28">
        <f>'[1]P6 recharge'!L18</f>
        <v>1047.7116694069587</v>
      </c>
      <c r="S87" s="29">
        <f>SUM(L87:R87)</f>
        <v>30183.538469396699</v>
      </c>
      <c r="U87" s="36"/>
    </row>
    <row r="88" spans="1:21" hidden="1" outlineLevel="1"/>
    <row r="89" spans="1:21" hidden="1" outlineLevel="1" collapsed="1"/>
    <row r="90" spans="1:21" s="33" customFormat="1" hidden="1" outlineLevel="1">
      <c r="A90" s="1" t="s">
        <v>50</v>
      </c>
      <c r="B90" s="32"/>
      <c r="C90" s="32"/>
      <c r="D90" s="32"/>
      <c r="E90" s="32"/>
      <c r="F90" s="32"/>
      <c r="G90" s="32"/>
      <c r="H90" s="32"/>
      <c r="I90" s="2"/>
      <c r="K90" s="1" t="s">
        <v>51</v>
      </c>
      <c r="L90" s="32"/>
      <c r="M90" s="32"/>
      <c r="N90" s="32"/>
      <c r="O90" s="32"/>
      <c r="P90" s="32"/>
      <c r="Q90" s="32"/>
      <c r="R90" s="32"/>
      <c r="S90" s="2"/>
    </row>
    <row r="91" spans="1:21" hidden="1" outlineLevel="1">
      <c r="A91" s="63" t="s">
        <v>1</v>
      </c>
      <c r="B91" s="55" t="s">
        <v>46</v>
      </c>
      <c r="C91" s="56"/>
      <c r="D91" s="56"/>
      <c r="E91" s="57"/>
      <c r="F91" s="59" t="s">
        <v>3</v>
      </c>
      <c r="G91" s="59"/>
      <c r="H91" s="60"/>
      <c r="I91" s="61" t="s">
        <v>32</v>
      </c>
      <c r="J91" s="37"/>
      <c r="K91" s="61" t="s">
        <v>1</v>
      </c>
      <c r="L91" s="55" t="s">
        <v>46</v>
      </c>
      <c r="M91" s="56"/>
      <c r="N91" s="56"/>
      <c r="O91" s="57"/>
      <c r="P91" s="58" t="s">
        <v>3</v>
      </c>
      <c r="Q91" s="59"/>
      <c r="R91" s="60"/>
      <c r="S91" s="61" t="s">
        <v>32</v>
      </c>
    </row>
    <row r="92" spans="1:21" s="7" customFormat="1" hidden="1" outlineLevel="1">
      <c r="A92" s="64"/>
      <c r="B92" s="48" t="s">
        <v>5</v>
      </c>
      <c r="C92" s="4" t="s">
        <v>6</v>
      </c>
      <c r="D92" s="4" t="s">
        <v>7</v>
      </c>
      <c r="E92" s="6" t="s">
        <v>8</v>
      </c>
      <c r="F92" s="4" t="s">
        <v>9</v>
      </c>
      <c r="G92" s="4" t="s">
        <v>49</v>
      </c>
      <c r="H92" s="6" t="s">
        <v>11</v>
      </c>
      <c r="I92" s="62"/>
      <c r="J92" s="40"/>
      <c r="K92" s="62"/>
      <c r="L92" s="48" t="s">
        <v>5</v>
      </c>
      <c r="M92" s="4" t="s">
        <v>6</v>
      </c>
      <c r="N92" s="4" t="s">
        <v>7</v>
      </c>
      <c r="O92" s="6" t="s">
        <v>8</v>
      </c>
      <c r="P92" s="5" t="s">
        <v>9</v>
      </c>
      <c r="Q92" s="4" t="s">
        <v>49</v>
      </c>
      <c r="R92" s="6" t="s">
        <v>11</v>
      </c>
      <c r="S92" s="62"/>
    </row>
    <row r="93" spans="1:21" hidden="1" outlineLevel="1">
      <c r="A93" s="15" t="s">
        <v>12</v>
      </c>
      <c r="B93" s="51">
        <f>L93-L79</f>
        <v>4211.2342906614667</v>
      </c>
      <c r="C93" s="52">
        <f t="shared" ref="C93:H94" si="31">M93-M79</f>
        <v>381.98136828063656</v>
      </c>
      <c r="D93" s="52">
        <f t="shared" si="31"/>
        <v>1576.2310883526238</v>
      </c>
      <c r="E93" s="53">
        <f t="shared" si="31"/>
        <v>490.66135036668868</v>
      </c>
      <c r="F93" s="16">
        <f t="shared" si="31"/>
        <v>0</v>
      </c>
      <c r="G93" s="16">
        <f t="shared" si="31"/>
        <v>232.74672001394197</v>
      </c>
      <c r="H93" s="16">
        <f t="shared" si="31"/>
        <v>-40.704421057385275</v>
      </c>
      <c r="I93" s="19">
        <f>SUM(B93:H93)</f>
        <v>6852.1503966179725</v>
      </c>
      <c r="J93" s="37"/>
      <c r="K93" s="15" t="s">
        <v>12</v>
      </c>
      <c r="L93" s="21">
        <f>-'[2]Recharge with Amway'!$C$5-'[2]Recharge with Amway'!$D$5-'[2]Recharge with Amway'!$E$5</f>
        <v>19154.634177769785</v>
      </c>
      <c r="M93" s="16">
        <f>-'[2]Recharge with Amway'!$C$6-'[2]Recharge with Amway'!$D$6-'[2]Recharge with Amway'!$E$6</f>
        <v>854.3592238937506</v>
      </c>
      <c r="N93" s="16">
        <f>-'[2]Recharge with Amway'!$C$7-'[2]Recharge with Amway'!$D$7-'[2]Recharge with Amway'!$E$7</f>
        <v>3398.5978033309493</v>
      </c>
      <c r="O93" s="18">
        <f>-'[2]Recharge with Amway'!$C$9-'[2]Recharge with Amway'!$D$9-'[2]Recharge with Amway'!$E$9</f>
        <v>614.82860522058172</v>
      </c>
      <c r="P93" s="17"/>
      <c r="Q93" s="16">
        <f>-'[2]Recharge with Amway'!$C$10-'[2]Recharge with Amway'!$D$10-'[2]Recharge with Amway'!$E$10</f>
        <v>1284.277545053807</v>
      </c>
      <c r="R93" s="18">
        <f>-'[2]Recharge with Amway'!$C$11-'[2]Recharge with Amway'!$D$11-'[2]Recharge with Amway'!$E$11</f>
        <v>621.44935400781264</v>
      </c>
      <c r="S93" s="19">
        <f>SUM(L93:R93)</f>
        <v>25928.14670927668</v>
      </c>
    </row>
    <row r="94" spans="1:21" hidden="1" outlineLevel="1">
      <c r="A94" s="15" t="s">
        <v>13</v>
      </c>
      <c r="B94" s="17">
        <f>L94-L80</f>
        <v>-513.26206335398456</v>
      </c>
      <c r="C94" s="16">
        <f t="shared" si="31"/>
        <v>9.8570623250670195</v>
      </c>
      <c r="D94" s="16">
        <f t="shared" si="31"/>
        <v>43.267807434290091</v>
      </c>
      <c r="E94" s="18">
        <f t="shared" si="31"/>
        <v>45.096863057099995</v>
      </c>
      <c r="F94" s="16">
        <f t="shared" si="31"/>
        <v>0</v>
      </c>
      <c r="G94" s="16">
        <f t="shared" si="31"/>
        <v>-49.365115226509801</v>
      </c>
      <c r="H94" s="16">
        <f t="shared" si="31"/>
        <v>-46.826213468619784</v>
      </c>
      <c r="I94" s="19">
        <f t="shared" ref="I94:I95" si="32">SUM(B94:H94)</f>
        <v>-511.23165923265708</v>
      </c>
      <c r="J94" s="37"/>
      <c r="K94" s="15" t="s">
        <v>13</v>
      </c>
      <c r="L94" s="21">
        <f>-'[2]Recharge with Amway'!$C$13-'[2]Recharge with Amway'!$D$13-'[2]Recharge with Amway'!$E$13</f>
        <v>1898.4891842489401</v>
      </c>
      <c r="M94" s="20">
        <f>-'[2]Recharge with Amway'!$C$14-'[2]Recharge with Amway'!$D$14-'[2]Recharge with Amway'!$E$14</f>
        <v>86.095260541107564</v>
      </c>
      <c r="N94" s="20">
        <f>-'[2]Recharge with Amway'!$C$15-'[2]Recharge with Amway'!$D$15-'[2]Recharge with Amway'!$E$15</f>
        <v>337.38395447193119</v>
      </c>
      <c r="O94" s="22">
        <f>-'[2]Recharge with Amway'!$C$17-'[2]Recharge with Amway'!$D$17-'[2]Recharge with Amway'!$E$17</f>
        <v>65.136514948076396</v>
      </c>
      <c r="P94" s="21"/>
      <c r="Q94" s="20">
        <f>-'[2]Recharge with Amway'!$C$18-'[2]Recharge with Amway'!$D$18-'[2]Recharge with Amway'!$E$18</f>
        <v>120.34397362486081</v>
      </c>
      <c r="R94" s="22">
        <f>-'[2]Recharge with Amway'!$C$19-'[2]Recharge with Amway'!$D$19-'[2]Recharge with Amway'!$E$19</f>
        <v>60.040376810889995</v>
      </c>
      <c r="S94" s="19">
        <f t="shared" ref="S94:S95" si="33">SUM(L94:R94)</f>
        <v>2567.4892646458056</v>
      </c>
    </row>
    <row r="95" spans="1:21" ht="30" hidden="1" outlineLevel="1">
      <c r="A95" s="23" t="s">
        <v>19</v>
      </c>
      <c r="B95" s="17">
        <f>L95-L86</f>
        <v>962.26604989173302</v>
      </c>
      <c r="C95" s="16">
        <f t="shared" ref="C95:H95" si="34">M95-M86</f>
        <v>121.61204321484126</v>
      </c>
      <c r="D95" s="16">
        <f t="shared" si="34"/>
        <v>518.06851133326336</v>
      </c>
      <c r="E95" s="18">
        <f t="shared" si="34"/>
        <v>172.17112748945948</v>
      </c>
      <c r="F95" s="16">
        <f t="shared" si="34"/>
        <v>0</v>
      </c>
      <c r="G95" s="16">
        <f t="shared" si="34"/>
        <v>57.523666220237317</v>
      </c>
      <c r="H95" s="16">
        <f t="shared" si="34"/>
        <v>-40.474252247975983</v>
      </c>
      <c r="I95" s="19">
        <f t="shared" si="32"/>
        <v>1791.1671459015586</v>
      </c>
      <c r="J95" s="37"/>
      <c r="K95" s="23" t="s">
        <v>19</v>
      </c>
      <c r="L95" s="21">
        <f>-'[2]Recharge with Amway'!$C$21-'[2]Recharge with Amway'!$D$21-'[2]Recharge with Amway'!$E$21</f>
        <v>7251.7349897189688</v>
      </c>
      <c r="M95" s="20">
        <f>-'[2]Recharge with Amway'!$C$22-'[2]Recharge with Amway'!$D$22-'[2]Recharge with Amway'!$E$22</f>
        <v>320.42930522922154</v>
      </c>
      <c r="N95" s="20">
        <f>-'[2]Recharge with Amway'!$C$23-'[2]Recharge with Amway'!$D$23-'[2]Recharge with Amway'!$E$23</f>
        <v>1285.0772869412294</v>
      </c>
      <c r="O95" s="22">
        <f>-'[2]Recharge with Amway'!$C$25-'[2]Recharge with Amway'!$D$25-'[2]Recharge with Amway'!$E$25</f>
        <v>224.43139614631951</v>
      </c>
      <c r="P95" s="21"/>
      <c r="Q95" s="20">
        <f>-'[2]Recharge with Amway'!$C$26-'[2]Recharge with Amway'!$D$26-'[2]Recharge with Amway'!$E$26</f>
        <v>500.09834891106664</v>
      </c>
      <c r="R95" s="22">
        <f>-'[2]Recharge with Amway'!$C$27-'[2]Recharge with Amway'!$D$27-'[2]Recharge with Amway'!$E$27</f>
        <v>238.21705181427501</v>
      </c>
      <c r="S95" s="19">
        <f t="shared" si="33"/>
        <v>9819.9883787610797</v>
      </c>
    </row>
    <row r="96" spans="1:21" hidden="1" outlineLevel="1">
      <c r="A96" s="25" t="s">
        <v>20</v>
      </c>
      <c r="B96" s="27">
        <f t="shared" ref="B96:H96" si="35">SUM(B93:B95)</f>
        <v>4660.2382771992152</v>
      </c>
      <c r="C96" s="26">
        <f t="shared" si="35"/>
        <v>513.45047382054486</v>
      </c>
      <c r="D96" s="26">
        <f t="shared" si="35"/>
        <v>2137.5674071201774</v>
      </c>
      <c r="E96" s="28">
        <f t="shared" si="35"/>
        <v>707.9293409132481</v>
      </c>
      <c r="F96" s="26">
        <f t="shared" si="35"/>
        <v>0</v>
      </c>
      <c r="G96" s="26">
        <f t="shared" si="35"/>
        <v>240.90527100766948</v>
      </c>
      <c r="H96" s="28">
        <f t="shared" si="35"/>
        <v>-128.00488677398104</v>
      </c>
      <c r="I96" s="29">
        <f>SUM(B96:H96)</f>
        <v>8132.0858832868744</v>
      </c>
      <c r="J96" s="37"/>
      <c r="K96" s="47" t="s">
        <v>20</v>
      </c>
      <c r="L96" s="27">
        <f t="shared" ref="L96:S96" si="36">SUM(L93:L95)</f>
        <v>28304.858351737697</v>
      </c>
      <c r="M96" s="26">
        <f t="shared" si="36"/>
        <v>1260.8837896640798</v>
      </c>
      <c r="N96" s="26">
        <f t="shared" si="36"/>
        <v>5021.05904474411</v>
      </c>
      <c r="O96" s="28">
        <f t="shared" si="36"/>
        <v>904.39651631497759</v>
      </c>
      <c r="P96" s="27">
        <f t="shared" si="36"/>
        <v>0</v>
      </c>
      <c r="Q96" s="26">
        <f t="shared" si="36"/>
        <v>1904.7198675897343</v>
      </c>
      <c r="R96" s="28">
        <f t="shared" si="36"/>
        <v>919.70678263297759</v>
      </c>
      <c r="S96" s="29">
        <f t="shared" si="36"/>
        <v>38315.624352683568</v>
      </c>
      <c r="U96" s="36"/>
    </row>
    <row r="97" spans="1:21" hidden="1" outlineLevel="1" collapsed="1">
      <c r="B97" t="s">
        <v>57</v>
      </c>
    </row>
    <row r="98" spans="1:21" s="33" customFormat="1" hidden="1" outlineLevel="1">
      <c r="A98" s="1" t="s">
        <v>52</v>
      </c>
      <c r="B98" s="32"/>
      <c r="C98" s="32"/>
      <c r="D98" s="32"/>
      <c r="E98" s="32"/>
      <c r="F98" s="32"/>
      <c r="G98" s="32"/>
      <c r="H98" s="32"/>
      <c r="I98" s="2"/>
      <c r="K98" s="1" t="s">
        <v>53</v>
      </c>
      <c r="L98" s="32"/>
      <c r="M98" s="32"/>
      <c r="N98" s="32"/>
      <c r="O98" s="32"/>
      <c r="P98" s="32"/>
      <c r="Q98" s="32"/>
      <c r="R98" s="32"/>
      <c r="S98" s="2"/>
    </row>
    <row r="99" spans="1:21" hidden="1" outlineLevel="1">
      <c r="A99" s="63" t="s">
        <v>1</v>
      </c>
      <c r="B99" s="55" t="s">
        <v>2</v>
      </c>
      <c r="C99" s="56"/>
      <c r="D99" s="56"/>
      <c r="E99" s="57"/>
      <c r="F99" s="59" t="s">
        <v>3</v>
      </c>
      <c r="G99" s="59"/>
      <c r="H99" s="60"/>
      <c r="I99" s="61" t="s">
        <v>4</v>
      </c>
      <c r="J99" s="37"/>
      <c r="K99" s="61" t="s">
        <v>1</v>
      </c>
      <c r="L99" s="55" t="s">
        <v>2</v>
      </c>
      <c r="M99" s="56"/>
      <c r="N99" s="56"/>
      <c r="O99" s="57"/>
      <c r="P99" s="58" t="s">
        <v>3</v>
      </c>
      <c r="Q99" s="59"/>
      <c r="R99" s="60"/>
      <c r="S99" s="61" t="s">
        <v>4</v>
      </c>
    </row>
    <row r="100" spans="1:21" s="7" customFormat="1" hidden="1" outlineLevel="1">
      <c r="A100" s="64"/>
      <c r="B100" s="48" t="s">
        <v>5</v>
      </c>
      <c r="C100" s="4" t="s">
        <v>6</v>
      </c>
      <c r="D100" s="4" t="s">
        <v>7</v>
      </c>
      <c r="E100" s="6" t="s">
        <v>8</v>
      </c>
      <c r="F100" s="4" t="s">
        <v>9</v>
      </c>
      <c r="G100" s="4" t="s">
        <v>10</v>
      </c>
      <c r="H100" s="6" t="s">
        <v>11</v>
      </c>
      <c r="I100" s="62"/>
      <c r="J100" s="40"/>
      <c r="K100" s="62"/>
      <c r="L100" s="48" t="s">
        <v>5</v>
      </c>
      <c r="M100" s="4" t="s">
        <v>6</v>
      </c>
      <c r="N100" s="4" t="s">
        <v>7</v>
      </c>
      <c r="O100" s="6" t="s">
        <v>8</v>
      </c>
      <c r="P100" s="5" t="s">
        <v>9</v>
      </c>
      <c r="Q100" s="4" t="s">
        <v>10</v>
      </c>
      <c r="R100" s="6" t="s">
        <v>11</v>
      </c>
      <c r="S100" s="62"/>
    </row>
    <row r="101" spans="1:21" hidden="1" outlineLevel="1">
      <c r="A101" s="15" t="s">
        <v>12</v>
      </c>
      <c r="B101" s="51">
        <f>L101-L93</f>
        <v>3064.6101200264166</v>
      </c>
      <c r="C101" s="52">
        <f t="shared" ref="C101:E101" si="37">M101-M93</f>
        <v>85.873198002583536</v>
      </c>
      <c r="D101" s="52">
        <f t="shared" si="37"/>
        <v>520.45328096815138</v>
      </c>
      <c r="E101" s="53">
        <f t="shared" si="37"/>
        <v>-35.853747341971484</v>
      </c>
      <c r="F101" s="16">
        <f t="shared" ref="F101:F102" si="38">P101-P87</f>
        <v>0</v>
      </c>
      <c r="G101" s="16">
        <f t="shared" ref="G101:H101" si="39">Q101-Q93</f>
        <v>430.47953942150184</v>
      </c>
      <c r="H101" s="16">
        <f t="shared" si="39"/>
        <v>145.14915902848054</v>
      </c>
      <c r="I101" s="19">
        <f>SUM(B101:H101)</f>
        <v>4210.7115501051621</v>
      </c>
      <c r="J101" s="37"/>
      <c r="K101" s="15" t="s">
        <v>12</v>
      </c>
      <c r="L101" s="21">
        <f>-'[2]Recharge with Amway'!$C$5-'[2]Recharge with Amway'!$D$5-'[2]Recharge with Amway'!$E$5-'[2]Recharge with Amway'!$F$5</f>
        <v>22219.244297796202</v>
      </c>
      <c r="M101" s="16">
        <f>-'[2]Recharge with Amway'!$C$6-'[2]Recharge with Amway'!$D$6-'[2]Recharge with Amway'!$E$6-'[2]Recharge with Amway'!$F$6</f>
        <v>940.23242189633413</v>
      </c>
      <c r="N101" s="16">
        <f>-'[2]Recharge with Amway'!$C$7-'[2]Recharge with Amway'!$D$7-'[2]Recharge with Amway'!$E$7-'[2]Recharge with Amway'!$F$7</f>
        <v>3919.0510842991007</v>
      </c>
      <c r="O101" s="18">
        <f>-'[2]Recharge with Amway'!$C$9-'[2]Recharge with Amway'!$D$9-'[2]Recharge with Amway'!$E$9-'[2]Recharge with Amway'!$F$9</f>
        <v>578.97485787861024</v>
      </c>
      <c r="P101" s="17"/>
      <c r="Q101" s="16">
        <f>-'[2]Recharge with Amway'!$C$10-'[2]Recharge with Amway'!$D$10-'[2]Recharge with Amway'!$E$10-'[2]Recharge with Amway'!$F$10</f>
        <v>1714.7570844753088</v>
      </c>
      <c r="R101" s="18">
        <f>-'[2]Recharge with Amway'!$C$11-'[2]Recharge with Amway'!$D$11-'[2]Recharge with Amway'!$E$11-'[2]Recharge with Amway'!$F$11</f>
        <v>766.59851303629318</v>
      </c>
      <c r="S101" s="19">
        <f>SUM(L101:R101)</f>
        <v>30138.85825938185</v>
      </c>
    </row>
    <row r="102" spans="1:21" hidden="1" outlineLevel="1">
      <c r="A102" s="15" t="s">
        <v>13</v>
      </c>
      <c r="B102" s="17">
        <f t="shared" ref="B102:B103" si="40">L102-L94</f>
        <v>284.64959099999987</v>
      </c>
      <c r="C102" s="16">
        <f t="shared" ref="C102:E102" si="41">M102-M94</f>
        <v>7.2835255268078356</v>
      </c>
      <c r="D102" s="16">
        <f t="shared" si="41"/>
        <v>47.97159921612166</v>
      </c>
      <c r="E102" s="18">
        <f t="shared" si="41"/>
        <v>-4.9379040000000032</v>
      </c>
      <c r="F102" s="16">
        <f t="shared" si="38"/>
        <v>0</v>
      </c>
      <c r="G102" s="16">
        <f t="shared" ref="G102:H102" si="42">Q102-Q94</f>
        <v>42.709986620342676</v>
      </c>
      <c r="H102" s="16">
        <f t="shared" si="42"/>
        <v>13.987345456766121</v>
      </c>
      <c r="I102" s="19">
        <f t="shared" ref="I102:I103" si="43">SUM(B102:H102)</f>
        <v>391.66414382003813</v>
      </c>
      <c r="J102" s="37"/>
      <c r="K102" s="15" t="s">
        <v>13</v>
      </c>
      <c r="L102" s="21">
        <f>-'[2]Recharge with Amway'!$C$13-'[2]Recharge with Amway'!$D$13-'[2]Recharge with Amway'!$E$13-'[2]Recharge with Amway'!$F$13</f>
        <v>2183.13877524894</v>
      </c>
      <c r="M102" s="20">
        <f>-'[2]Recharge with Amway'!$C$14-'[2]Recharge with Amway'!$D$14-'[2]Recharge with Amway'!$E$14-'[2]Recharge with Amway'!$F$14</f>
        <v>93.378786067915399</v>
      </c>
      <c r="N102" s="20">
        <f>-'[2]Recharge with Amway'!$C$15-'[2]Recharge with Amway'!$D$15-'[2]Recharge with Amway'!$E$15-'[2]Recharge with Amway'!$F$15</f>
        <v>385.35555368805285</v>
      </c>
      <c r="O102" s="22">
        <f>-'[2]Recharge with Amway'!$C$17-'[2]Recharge with Amway'!$D$17-'[2]Recharge with Amway'!$E$17-'[2]Recharge with Amway'!$F$17</f>
        <v>60.198610948076393</v>
      </c>
      <c r="P102" s="21"/>
      <c r="Q102" s="20">
        <f>-'[2]Recharge with Amway'!$C$18-'[2]Recharge with Amway'!$D$18-'[2]Recharge with Amway'!$E$18-'[2]Recharge with Amway'!$F$18</f>
        <v>163.05396024520348</v>
      </c>
      <c r="R102" s="22">
        <f>-'[2]Recharge with Amway'!$C$19-'[2]Recharge with Amway'!$D$19-'[2]Recharge with Amway'!$E$19-'[2]Recharge with Amway'!$F$19</f>
        <v>74.027722267656117</v>
      </c>
      <c r="S102" s="19">
        <f t="shared" ref="S102:S103" si="44">SUM(L102:R102)</f>
        <v>2959.1534084658438</v>
      </c>
    </row>
    <row r="103" spans="1:21" ht="30" hidden="1" outlineLevel="1">
      <c r="A103" s="23" t="s">
        <v>19</v>
      </c>
      <c r="B103" s="17">
        <f t="shared" si="40"/>
        <v>730.94991210624448</v>
      </c>
      <c r="C103" s="16">
        <f t="shared" ref="C103:E103" si="45">M103-M95</f>
        <v>16.748211206331632</v>
      </c>
      <c r="D103" s="16">
        <f t="shared" si="45"/>
        <v>122.36713476978343</v>
      </c>
      <c r="E103" s="18">
        <f t="shared" si="45"/>
        <v>-18.546322543061734</v>
      </c>
      <c r="F103" s="16">
        <f t="shared" ref="F103" si="46">P103-P94</f>
        <v>0</v>
      </c>
      <c r="G103" s="16">
        <f t="shared" ref="G103:H103" si="47">Q103-Q95</f>
        <v>119.36300094126966</v>
      </c>
      <c r="H103" s="16">
        <f t="shared" si="47"/>
        <v>38.10626321839959</v>
      </c>
      <c r="I103" s="19">
        <f t="shared" si="43"/>
        <v>1008.9881996989672</v>
      </c>
      <c r="J103" s="37"/>
      <c r="K103" s="23" t="s">
        <v>19</v>
      </c>
      <c r="L103" s="21">
        <f>-'[2]Recharge with Amway'!$C$21-'[2]Recharge with Amway'!$D$21-'[2]Recharge with Amway'!$E$21-'[2]Recharge with Amway'!$F$21</f>
        <v>7982.6849018252133</v>
      </c>
      <c r="M103" s="20">
        <f>-'[2]Recharge with Amway'!$C$22-'[2]Recharge with Amway'!$D$22-'[2]Recharge with Amway'!$E$22-'[2]Recharge with Amway'!$F$22</f>
        <v>337.17751643555317</v>
      </c>
      <c r="N103" s="20">
        <f>-'[2]Recharge with Amway'!$C$23-'[2]Recharge with Amway'!$D$23-'[2]Recharge with Amway'!$E$23-'[2]Recharge with Amway'!$F$23</f>
        <v>1407.4444217110129</v>
      </c>
      <c r="O103" s="22">
        <f>-'[2]Recharge with Amway'!$C$25-'[2]Recharge with Amway'!$D$25-'[2]Recharge with Amway'!$E$25-'[2]Recharge with Amway'!$F$25</f>
        <v>205.88507360325778</v>
      </c>
      <c r="P103" s="21"/>
      <c r="Q103" s="20">
        <f>-'[2]Recharge with Amway'!$C$26-'[2]Recharge with Amway'!$D$26-'[2]Recharge with Amway'!$E$26-'[2]Recharge with Amway'!$F$26</f>
        <v>619.4613498523363</v>
      </c>
      <c r="R103" s="22">
        <f>-'[2]Recharge with Amway'!$C$27-'[2]Recharge with Amway'!$D$27-'[2]Recharge with Amway'!$E$27-'[2]Recharge with Amway'!$F$27</f>
        <v>276.3233150326746</v>
      </c>
      <c r="S103" s="19">
        <f t="shared" si="44"/>
        <v>10828.976578460048</v>
      </c>
    </row>
    <row r="104" spans="1:21" hidden="1" outlineLevel="1">
      <c r="A104" s="25" t="s">
        <v>20</v>
      </c>
      <c r="B104" s="27">
        <f t="shared" ref="B104:H104" si="48">SUM(B101:B103)</f>
        <v>4080.2096231326609</v>
      </c>
      <c r="C104" s="26">
        <f t="shared" si="48"/>
        <v>109.904934735723</v>
      </c>
      <c r="D104" s="26">
        <f t="shared" si="48"/>
        <v>690.79201495405641</v>
      </c>
      <c r="E104" s="28">
        <f t="shared" si="48"/>
        <v>-59.337973885033222</v>
      </c>
      <c r="F104" s="26">
        <f t="shared" si="48"/>
        <v>0</v>
      </c>
      <c r="G104" s="26">
        <f t="shared" si="48"/>
        <v>592.55252698311415</v>
      </c>
      <c r="H104" s="28">
        <f t="shared" si="48"/>
        <v>197.24276770364625</v>
      </c>
      <c r="I104" s="29">
        <f>SUM(B104:H104)</f>
        <v>5611.3638936241668</v>
      </c>
      <c r="J104" s="37"/>
      <c r="K104" s="47" t="s">
        <v>20</v>
      </c>
      <c r="L104" s="27">
        <f t="shared" ref="L104:S104" si="49">SUM(L101:L103)</f>
        <v>32385.067974870355</v>
      </c>
      <c r="M104" s="26">
        <f t="shared" si="49"/>
        <v>1370.7887243998027</v>
      </c>
      <c r="N104" s="26">
        <f t="shared" si="49"/>
        <v>5711.8510596981669</v>
      </c>
      <c r="O104" s="28">
        <f t="shared" si="49"/>
        <v>845.0585424299444</v>
      </c>
      <c r="P104" s="27">
        <f t="shared" si="49"/>
        <v>0</v>
      </c>
      <c r="Q104" s="26">
        <f t="shared" si="49"/>
        <v>2497.2723945728485</v>
      </c>
      <c r="R104" s="28">
        <f t="shared" si="49"/>
        <v>1116.9495503366238</v>
      </c>
      <c r="S104" s="29">
        <f t="shared" si="49"/>
        <v>43926.988246307737</v>
      </c>
      <c r="U104" s="36"/>
    </row>
    <row r="105" spans="1:21" hidden="1" outlineLevel="1"/>
    <row r="106" spans="1:21" hidden="1" outlineLevel="1">
      <c r="Q106" s="54" t="s">
        <v>54</v>
      </c>
    </row>
    <row r="107" spans="1:21" hidden="1" outlineLevel="1" collapsed="1"/>
    <row r="108" spans="1:21" s="33" customFormat="1" hidden="1" outlineLevel="1">
      <c r="A108" s="1" t="s">
        <v>55</v>
      </c>
      <c r="B108" s="32"/>
      <c r="C108" s="32"/>
      <c r="D108" s="32"/>
      <c r="E108" s="32"/>
      <c r="F108" s="32"/>
      <c r="G108" s="32"/>
      <c r="H108" s="32"/>
      <c r="I108" s="2"/>
      <c r="K108" s="1" t="s">
        <v>56</v>
      </c>
      <c r="L108" s="32"/>
      <c r="M108" s="32"/>
      <c r="N108" s="32"/>
      <c r="O108" s="32"/>
      <c r="P108" s="32"/>
      <c r="Q108" s="32"/>
      <c r="R108" s="32"/>
      <c r="S108" s="2"/>
    </row>
    <row r="109" spans="1:21" hidden="1" outlineLevel="1">
      <c r="A109" s="63" t="s">
        <v>1</v>
      </c>
      <c r="B109" s="55" t="s">
        <v>2</v>
      </c>
      <c r="C109" s="56"/>
      <c r="D109" s="56"/>
      <c r="E109" s="57"/>
      <c r="F109" s="59" t="s">
        <v>3</v>
      </c>
      <c r="G109" s="59"/>
      <c r="H109" s="60"/>
      <c r="I109" s="61" t="s">
        <v>4</v>
      </c>
      <c r="J109" s="37"/>
      <c r="K109" s="61" t="s">
        <v>1</v>
      </c>
      <c r="L109" s="55" t="s">
        <v>2</v>
      </c>
      <c r="M109" s="56"/>
      <c r="N109" s="56"/>
      <c r="O109" s="57"/>
      <c r="P109" s="58" t="s">
        <v>3</v>
      </c>
      <c r="Q109" s="59"/>
      <c r="R109" s="60"/>
      <c r="S109" s="61" t="s">
        <v>4</v>
      </c>
    </row>
    <row r="110" spans="1:21" s="7" customFormat="1" hidden="1" outlineLevel="1">
      <c r="A110" s="64"/>
      <c r="B110" s="48" t="s">
        <v>5</v>
      </c>
      <c r="C110" s="4" t="s">
        <v>6</v>
      </c>
      <c r="D110" s="4" t="s">
        <v>7</v>
      </c>
      <c r="E110" s="6" t="s">
        <v>8</v>
      </c>
      <c r="F110" s="4" t="s">
        <v>9</v>
      </c>
      <c r="G110" s="4" t="s">
        <v>10</v>
      </c>
      <c r="H110" s="6" t="s">
        <v>11</v>
      </c>
      <c r="I110" s="62"/>
      <c r="J110" s="40"/>
      <c r="K110" s="62"/>
      <c r="L110" s="48" t="s">
        <v>5</v>
      </c>
      <c r="M110" s="4" t="s">
        <v>6</v>
      </c>
      <c r="N110" s="4" t="s">
        <v>7</v>
      </c>
      <c r="O110" s="6" t="s">
        <v>8</v>
      </c>
      <c r="P110" s="5" t="s">
        <v>9</v>
      </c>
      <c r="Q110" s="4" t="s">
        <v>10</v>
      </c>
      <c r="R110" s="6" t="s">
        <v>11</v>
      </c>
      <c r="S110" s="62"/>
    </row>
    <row r="111" spans="1:21" hidden="1" outlineLevel="1">
      <c r="A111" s="15" t="s">
        <v>12</v>
      </c>
      <c r="B111" s="51">
        <f>L111-L101</f>
        <v>3147.8463080330584</v>
      </c>
      <c r="C111" s="52">
        <f t="shared" ref="C111:H111" si="50">M111-M101</f>
        <v>88.205552649253036</v>
      </c>
      <c r="D111" s="52">
        <f t="shared" si="50"/>
        <v>534.58902595582549</v>
      </c>
      <c r="E111" s="53">
        <f t="shared" si="50"/>
        <v>-36.827551231411462</v>
      </c>
      <c r="F111" s="16">
        <f t="shared" si="50"/>
        <v>0</v>
      </c>
      <c r="G111" s="16">
        <f t="shared" si="50"/>
        <v>442.17155715718377</v>
      </c>
      <c r="H111" s="16">
        <f t="shared" si="50"/>
        <v>149.09147541350774</v>
      </c>
      <c r="I111" s="19">
        <f>SUM(B111:H111)</f>
        <v>4325.0763679774172</v>
      </c>
      <c r="J111" s="37"/>
      <c r="K111" s="15" t="s">
        <v>12</v>
      </c>
      <c r="L111" s="21">
        <f>-'[2]Recharge with Amway'!$C$5-'[2]Recharge with Amway'!$D$5-'[2]Recharge with Amway'!$E$5-'[2]Recharge with Amway'!$F$5-'[2]Recharge with Amway'!$G$5</f>
        <v>25367.09060582926</v>
      </c>
      <c r="M111" s="16">
        <f>-'[2]Recharge with Amway'!$C$6-'[2]Recharge with Amway'!$D$6-'[2]Recharge with Amway'!$E$6-'[2]Recharge with Amway'!$F$6-'[2]Recharge with Amway'!$G$6</f>
        <v>1028.4379745455872</v>
      </c>
      <c r="N111" s="16">
        <f>-'[2]Recharge with Amway'!$C$7-'[2]Recharge with Amway'!$D$7-'[2]Recharge with Amway'!$E$7-'[2]Recharge with Amway'!$F$7-'[2]Recharge with Amway'!$G$7</f>
        <v>4453.6401102549262</v>
      </c>
      <c r="O111" s="18">
        <f>-'[2]Recharge with Amway'!$C$9-'[2]Recharge with Amway'!$D$9-'[2]Recharge with Amway'!$E$9-'[2]Recharge with Amway'!$F$9-'[2]Recharge with Amway'!$G$9</f>
        <v>542.14730664719877</v>
      </c>
      <c r="P111" s="17"/>
      <c r="Q111" s="16">
        <f>-'[2]Recharge with Amway'!$C$10-'[2]Recharge with Amway'!$D$10-'[2]Recharge with Amway'!$E$10-'[2]Recharge with Amway'!$F$10-'[2]Recharge with Amway'!$G$10</f>
        <v>2156.9286416324926</v>
      </c>
      <c r="R111" s="18">
        <f>-'[2]Recharge with Amway'!$C$11-'[2]Recharge with Amway'!$D$11-'[2]Recharge with Amway'!$E$11-'[2]Recharge with Amway'!$F$11-'[2]Recharge with Amway'!$G$11</f>
        <v>915.68998844980092</v>
      </c>
      <c r="S111" s="19">
        <f>SUM(L111:R111)</f>
        <v>34463.934627359267</v>
      </c>
    </row>
    <row r="112" spans="1:21" hidden="1" outlineLevel="1">
      <c r="A112" s="15" t="s">
        <v>13</v>
      </c>
      <c r="B112" s="17">
        <f t="shared" ref="B112:B113" si="51">L112-L102</f>
        <v>284.64959099999987</v>
      </c>
      <c r="C112" s="16">
        <f t="shared" ref="C112:C113" si="52">M112-M102</f>
        <v>7.2835255268078356</v>
      </c>
      <c r="D112" s="16">
        <f t="shared" ref="D112" si="53">N112-N102</f>
        <v>47.97159921612166</v>
      </c>
      <c r="E112" s="18">
        <f t="shared" ref="E112:E113" si="54">O112-O102</f>
        <v>-4.9379040000000032</v>
      </c>
      <c r="F112" s="16">
        <f t="shared" ref="F112:F113" si="55">P112-P102</f>
        <v>0</v>
      </c>
      <c r="G112" s="16">
        <f t="shared" ref="G112:G113" si="56">Q112-Q102</f>
        <v>42.709986620342676</v>
      </c>
      <c r="H112" s="16">
        <f t="shared" ref="H112:H113" si="57">R112-R102</f>
        <v>13.987345456766121</v>
      </c>
      <c r="I112" s="19">
        <f t="shared" ref="I112:I113" si="58">SUM(B112:H112)</f>
        <v>391.66414382003813</v>
      </c>
      <c r="J112" s="37"/>
      <c r="K112" s="15" t="s">
        <v>13</v>
      </c>
      <c r="L112" s="21">
        <f>-'[2]Recharge with Amway'!$C$13-'[2]Recharge with Amway'!$D$13-'[2]Recharge with Amway'!$E$13-'[2]Recharge with Amway'!$F$13-'[2]Recharge with Amway'!$G$13</f>
        <v>2467.7883662489398</v>
      </c>
      <c r="M112" s="20">
        <f>-'[2]Recharge with Amway'!$C$14-'[2]Recharge with Amway'!$D$14-'[2]Recharge with Amway'!$E$14-'[2]Recharge with Amway'!$F$14-'[2]Recharge with Amway'!$G$14</f>
        <v>100.66231159472323</v>
      </c>
      <c r="N112" s="20">
        <f>-'[2]Recharge with Amway'!$C$15-'[2]Recharge with Amway'!$D$15-'[2]Recharge with Amway'!$E$15-'[2]Recharge with Amway'!$F$15-'[2]Recharge with Amway'!$G$15</f>
        <v>433.32715290417451</v>
      </c>
      <c r="O112" s="22">
        <f>-'[2]Recharge with Amway'!$C$17-'[2]Recharge with Amway'!$D$17-'[2]Recharge with Amway'!$E$17-'[2]Recharge with Amway'!$F$17-'[2]Recharge with Amway'!$G$17</f>
        <v>55.26070694807639</v>
      </c>
      <c r="P112" s="21"/>
      <c r="Q112" s="20">
        <f>-'[2]Recharge with Amway'!$C$18-'[2]Recharge with Amway'!$D$18-'[2]Recharge with Amway'!$E$18-'[2]Recharge with Amway'!$F$18-'[2]Recharge with Amway'!$G$18</f>
        <v>205.76394686554616</v>
      </c>
      <c r="R112" s="22">
        <f>-'[2]Recharge with Amway'!$C$19-'[2]Recharge with Amway'!$D$19-'[2]Recharge with Amway'!$E$19-'[2]Recharge with Amway'!$F$19-'[2]Recharge with Amway'!$G$19</f>
        <v>88.015067724422238</v>
      </c>
      <c r="S112" s="19">
        <f t="shared" ref="S112:S113" si="59">SUM(L112:R112)</f>
        <v>3350.8175522858824</v>
      </c>
    </row>
    <row r="113" spans="1:21" ht="30" hidden="1" outlineLevel="1">
      <c r="A113" s="23" t="s">
        <v>19</v>
      </c>
      <c r="B113" s="17">
        <f t="shared" si="51"/>
        <v>789.1346725542362</v>
      </c>
      <c r="C113" s="16">
        <f t="shared" si="52"/>
        <v>18.081395109678397</v>
      </c>
      <c r="D113" s="16">
        <f>N113-N103</f>
        <v>132.10775078924598</v>
      </c>
      <c r="E113" s="18">
        <f t="shared" si="54"/>
        <v>-20.022638931485318</v>
      </c>
      <c r="F113" s="16">
        <f t="shared" si="55"/>
        <v>0</v>
      </c>
      <c r="G113" s="16">
        <f t="shared" si="56"/>
        <v>128.86448319209671</v>
      </c>
      <c r="H113" s="16">
        <f t="shared" si="57"/>
        <v>41.139581589752481</v>
      </c>
      <c r="I113" s="19">
        <f t="shared" si="58"/>
        <v>1089.3052443035244</v>
      </c>
      <c r="J113" s="37"/>
      <c r="K113" s="23" t="s">
        <v>19</v>
      </c>
      <c r="L113" s="21">
        <f>-'[2]Recharge with Amway'!$C$21-'[2]Recharge with Amway'!$D$21-'[2]Recharge with Amway'!$E$21-'[2]Recharge with Amway'!$F$21-'[2]Recharge with Amway'!$G$21</f>
        <v>8771.8195743794495</v>
      </c>
      <c r="M113" s="20">
        <f>-'[2]Recharge with Amway'!$C$22-'[2]Recharge with Amway'!$D$22-'[2]Recharge with Amway'!$E$22-'[2]Recharge with Amway'!$F$22-'[2]Recharge with Amway'!$G$22</f>
        <v>355.25891154523157</v>
      </c>
      <c r="N113" s="20">
        <f>-'[2]Recharge with Amway'!$C$23-'[2]Recharge with Amway'!$D$23-'[2]Recharge with Amway'!$E$23-'[2]Recharge with Amway'!$F$23-'[2]Recharge with Amway'!$G$23</f>
        <v>1539.5521725002588</v>
      </c>
      <c r="O113" s="22">
        <f>-'[2]Recharge with Amway'!$C$25-'[2]Recharge with Amway'!$D$25-'[2]Recharge with Amway'!$E$25-'[2]Recharge with Amway'!$F$25-'[2]Recharge with Amway'!$G$25</f>
        <v>185.86243467177246</v>
      </c>
      <c r="P113" s="21"/>
      <c r="Q113" s="20">
        <f>-'[2]Recharge with Amway'!$C$26-'[2]Recharge with Amway'!$D$26-'[2]Recharge with Amway'!$E$26-'[2]Recharge with Amway'!$F$26-'[2]Recharge with Amway'!$G$26</f>
        <v>748.32583304443301</v>
      </c>
      <c r="R113" s="22">
        <f>-'[2]Recharge with Amway'!$C$27-'[2]Recharge with Amway'!$D$27-'[2]Recharge with Amway'!$E$27-'[2]Recharge with Amway'!$F$27-'[2]Recharge with Amway'!$G$27</f>
        <v>317.46289662242708</v>
      </c>
      <c r="S113" s="19">
        <f t="shared" si="59"/>
        <v>11918.281822763573</v>
      </c>
    </row>
    <row r="114" spans="1:21" hidden="1" outlineLevel="1">
      <c r="A114" s="25" t="s">
        <v>20</v>
      </c>
      <c r="B114" s="27">
        <f t="shared" ref="B114:H114" si="60">SUM(B111:B113)</f>
        <v>4221.630571587295</v>
      </c>
      <c r="C114" s="26">
        <f t="shared" si="60"/>
        <v>113.57047328573927</v>
      </c>
      <c r="D114" s="26">
        <f t="shared" si="60"/>
        <v>714.66837596119308</v>
      </c>
      <c r="E114" s="28">
        <f t="shared" si="60"/>
        <v>-61.788094162896783</v>
      </c>
      <c r="F114" s="26">
        <f t="shared" si="60"/>
        <v>0</v>
      </c>
      <c r="G114" s="26">
        <f t="shared" si="60"/>
        <v>613.74602696962313</v>
      </c>
      <c r="H114" s="28">
        <f t="shared" si="60"/>
        <v>204.21840246002634</v>
      </c>
      <c r="I114" s="29">
        <f>SUM(B114:H114)</f>
        <v>5806.0457561009807</v>
      </c>
      <c r="J114" s="37"/>
      <c r="K114" s="47" t="s">
        <v>20</v>
      </c>
      <c r="L114" s="27">
        <f t="shared" ref="L114:S114" si="61">SUM(L111:L113)</f>
        <v>36606.69854645765</v>
      </c>
      <c r="M114" s="26">
        <f t="shared" si="61"/>
        <v>1484.3591976855419</v>
      </c>
      <c r="N114" s="26">
        <f t="shared" si="61"/>
        <v>6426.5194356593602</v>
      </c>
      <c r="O114" s="28">
        <f t="shared" si="61"/>
        <v>783.27044826704764</v>
      </c>
      <c r="P114" s="27">
        <f t="shared" si="61"/>
        <v>0</v>
      </c>
      <c r="Q114" s="26">
        <f t="shared" si="61"/>
        <v>3111.0184215424715</v>
      </c>
      <c r="R114" s="28">
        <f t="shared" si="61"/>
        <v>1321.1679527966503</v>
      </c>
      <c r="S114" s="29">
        <f t="shared" si="61"/>
        <v>49733.03400240872</v>
      </c>
      <c r="U114" s="36"/>
    </row>
    <row r="115" spans="1:21" collapsed="1"/>
    <row r="116" spans="1:21" s="33" customFormat="1">
      <c r="A116" s="1" t="s">
        <v>58</v>
      </c>
      <c r="B116" s="32"/>
      <c r="C116" s="32"/>
      <c r="D116" s="32"/>
      <c r="E116" s="32"/>
      <c r="F116" s="32"/>
      <c r="G116" s="32"/>
      <c r="H116" s="32"/>
      <c r="I116" s="2"/>
      <c r="K116" s="1" t="s">
        <v>59</v>
      </c>
      <c r="L116" s="32"/>
      <c r="M116" s="32"/>
      <c r="N116" s="32"/>
      <c r="O116" s="32"/>
      <c r="P116" s="32"/>
      <c r="Q116" s="32"/>
      <c r="R116" s="32"/>
      <c r="S116" s="2"/>
    </row>
    <row r="117" spans="1:21">
      <c r="A117" s="63" t="s">
        <v>1</v>
      </c>
      <c r="B117" s="55" t="s">
        <v>2</v>
      </c>
      <c r="C117" s="56"/>
      <c r="D117" s="56"/>
      <c r="E117" s="57"/>
      <c r="F117" s="59" t="s">
        <v>3</v>
      </c>
      <c r="G117" s="59"/>
      <c r="H117" s="60"/>
      <c r="I117" s="61" t="s">
        <v>4</v>
      </c>
      <c r="J117" s="37"/>
      <c r="K117" s="61" t="s">
        <v>1</v>
      </c>
      <c r="L117" s="55" t="s">
        <v>2</v>
      </c>
      <c r="M117" s="56"/>
      <c r="N117" s="56"/>
      <c r="O117" s="57"/>
      <c r="P117" s="58" t="s">
        <v>3</v>
      </c>
      <c r="Q117" s="59"/>
      <c r="R117" s="60"/>
      <c r="S117" s="61" t="s">
        <v>4</v>
      </c>
    </row>
    <row r="118" spans="1:21" s="7" customFormat="1">
      <c r="A118" s="64"/>
      <c r="B118" s="48" t="s">
        <v>5</v>
      </c>
      <c r="C118" s="4" t="s">
        <v>6</v>
      </c>
      <c r="D118" s="4" t="s">
        <v>7</v>
      </c>
      <c r="E118" s="6" t="s">
        <v>8</v>
      </c>
      <c r="F118" s="4" t="s">
        <v>9</v>
      </c>
      <c r="G118" s="4" t="s">
        <v>10</v>
      </c>
      <c r="H118" s="6" t="s">
        <v>11</v>
      </c>
      <c r="I118" s="62"/>
      <c r="J118" s="40"/>
      <c r="K118" s="62"/>
      <c r="L118" s="48" t="s">
        <v>5</v>
      </c>
      <c r="M118" s="4" t="s">
        <v>6</v>
      </c>
      <c r="N118" s="4" t="s">
        <v>7</v>
      </c>
      <c r="O118" s="6" t="s">
        <v>8</v>
      </c>
      <c r="P118" s="5" t="s">
        <v>9</v>
      </c>
      <c r="Q118" s="4" t="s">
        <v>10</v>
      </c>
      <c r="R118" s="6" t="s">
        <v>11</v>
      </c>
      <c r="S118" s="62"/>
    </row>
    <row r="119" spans="1:21">
      <c r="A119" s="15" t="s">
        <v>12</v>
      </c>
      <c r="B119" s="51">
        <f>L119-L111</f>
        <v>2598.620873920594</v>
      </c>
      <c r="C119" s="52">
        <f t="shared" ref="C119:H119" si="62">M119-M111</f>
        <v>76.142380020671681</v>
      </c>
      <c r="D119" s="52">
        <f t="shared" si="62"/>
        <v>21.131562508240677</v>
      </c>
      <c r="E119" s="53">
        <f t="shared" si="62"/>
        <v>-94.416682678614904</v>
      </c>
      <c r="F119" s="16">
        <f t="shared" si="62"/>
        <v>0</v>
      </c>
      <c r="G119" s="16">
        <f t="shared" si="62"/>
        <v>342.36768841147114</v>
      </c>
      <c r="H119" s="16">
        <f t="shared" si="62"/>
        <v>205.51814613368128</v>
      </c>
      <c r="I119" s="19">
        <f>SUM(B119:H119)</f>
        <v>3149.3639683160436</v>
      </c>
      <c r="J119" s="37"/>
      <c r="K119" s="15" t="s">
        <v>12</v>
      </c>
      <c r="L119" s="21">
        <f>-'[3]recharge without Amway'!$C$4-'[3]recharge without Amway'!$D$4</f>
        <v>27965.711479749854</v>
      </c>
      <c r="M119" s="16">
        <f>-'[3]recharge without Amway'!$C$5-'[3]recharge without Amway'!$D$5</f>
        <v>1104.5803545662588</v>
      </c>
      <c r="N119" s="16">
        <f>-'[3]recharge without Amway'!$C$6-'[3]recharge without Amway'!$D$6</f>
        <v>4474.7716727631669</v>
      </c>
      <c r="O119" s="18">
        <f>-'[3]recharge without Amway'!$C$8-'[3]recharge without Amway'!$D$8</f>
        <v>447.73062396858387</v>
      </c>
      <c r="P119" s="17"/>
      <c r="Q119" s="16">
        <f>-'[3]recharge without Amway'!$C$9-'[3]recharge without Amway'!$D$9</f>
        <v>2499.2963300439637</v>
      </c>
      <c r="R119" s="18">
        <f>-'[3]recharge without Amway'!$C$10-'[3]recharge without Amway'!$D$10</f>
        <v>1121.2081345834822</v>
      </c>
      <c r="S119" s="19">
        <f>SUM(L119:R119)</f>
        <v>37613.298595675311</v>
      </c>
    </row>
    <row r="120" spans="1:21">
      <c r="A120" s="15" t="s">
        <v>13</v>
      </c>
      <c r="B120" s="17">
        <f t="shared" ref="B120:B121" si="63">L120-L112</f>
        <v>2072.8549600853153</v>
      </c>
      <c r="C120" s="16">
        <f t="shared" ref="C120:C121" si="64">M120-M112</f>
        <v>76.182548092928471</v>
      </c>
      <c r="D120" s="16">
        <f t="shared" ref="D120:D121" si="65">N120-N112</f>
        <v>249.9390570517125</v>
      </c>
      <c r="E120" s="18">
        <f t="shared" ref="E120:E121" si="66">O120-O112</f>
        <v>4.3333333333333357</v>
      </c>
      <c r="F120" s="16">
        <f t="shared" ref="F120:F121" si="67">P120-P112</f>
        <v>0</v>
      </c>
      <c r="G120" s="16">
        <f t="shared" ref="G120:G121" si="68">Q120-Q112</f>
        <v>209.40921500680017</v>
      </c>
      <c r="H120" s="16">
        <f t="shared" ref="H120:H121" si="69">R120-R112</f>
        <v>104.44161095501815</v>
      </c>
      <c r="I120" s="19">
        <f t="shared" ref="I120:I121" si="70">SUM(B120:H120)</f>
        <v>2717.1607245251075</v>
      </c>
      <c r="J120" s="37"/>
      <c r="K120" s="15" t="s">
        <v>13</v>
      </c>
      <c r="L120" s="21">
        <f>-'[3]recharge without Amway'!$C$12-'[3]recharge without Amway'!$D$12</f>
        <v>4540.6433263342551</v>
      </c>
      <c r="M120" s="20">
        <f>-'[3]recharge without Amway'!$C$13-'[3]recharge without Amway'!$D$13</f>
        <v>176.84485968765171</v>
      </c>
      <c r="N120" s="20">
        <f>-'[3]recharge without Amway'!$C$14-'[3]recharge without Amway'!$D$14</f>
        <v>683.26620995588701</v>
      </c>
      <c r="O120" s="22">
        <f>-'[3]recharge without Amway'!$C$16-'[3]recharge without Amway'!$D$16</f>
        <v>59.594040281409725</v>
      </c>
      <c r="P120" s="21"/>
      <c r="Q120" s="20">
        <f>-'[3]recharge without Amway'!$C$17-'[3]recharge without Amway'!$D$17</f>
        <v>415.17316187234633</v>
      </c>
      <c r="R120" s="22">
        <f>-'[3]recharge without Amway'!$C$18-'[3]recharge without Amway'!$D$18</f>
        <v>192.45667867944039</v>
      </c>
      <c r="S120" s="19">
        <f t="shared" ref="S120:S121" si="71">SUM(L120:R120)</f>
        <v>6067.9782768109899</v>
      </c>
    </row>
    <row r="121" spans="1:21" ht="30">
      <c r="A121" s="23" t="s">
        <v>19</v>
      </c>
      <c r="B121" s="17">
        <f t="shared" si="63"/>
        <v>1077.8619285350196</v>
      </c>
      <c r="C121" s="16">
        <f t="shared" si="64"/>
        <v>33.86068462415227</v>
      </c>
      <c r="D121" s="16">
        <f t="shared" si="65"/>
        <v>50.692049460576527</v>
      </c>
      <c r="E121" s="18">
        <f t="shared" si="66"/>
        <v>-30.566666666666663</v>
      </c>
      <c r="F121" s="16">
        <f t="shared" si="67"/>
        <v>0</v>
      </c>
      <c r="G121" s="16">
        <f t="shared" si="68"/>
        <v>153.48586634245839</v>
      </c>
      <c r="H121" s="16">
        <f t="shared" si="69"/>
        <v>61.639608500860277</v>
      </c>
      <c r="I121" s="19">
        <f t="shared" si="70"/>
        <v>1346.9734707964005</v>
      </c>
      <c r="J121" s="37"/>
      <c r="K121" s="23" t="s">
        <v>19</v>
      </c>
      <c r="L121" s="21">
        <f>-'[3]recharge without Amway'!$C$20-'[3]recharge without Amway'!$D$20</f>
        <v>9849.6815029144691</v>
      </c>
      <c r="M121" s="20">
        <f>-'[3]recharge without Amway'!$C$21-'[3]recharge without Amway'!$D$21</f>
        <v>389.11959616938384</v>
      </c>
      <c r="N121" s="20">
        <f>-'[3]recharge without Amway'!$C$22-'[3]recharge without Amway'!$D$22</f>
        <v>1590.2442219608354</v>
      </c>
      <c r="O121" s="22">
        <f>-'[3]recharge without Amway'!$C$24-'[3]recharge without Amway'!$D$24</f>
        <v>155.2957680051058</v>
      </c>
      <c r="P121" s="21"/>
      <c r="Q121" s="20">
        <f>-'[3]recharge without Amway'!$C$25-'[3]recharge without Amway'!$D$25</f>
        <v>901.81169938689141</v>
      </c>
      <c r="R121" s="22">
        <f>-'[3]recharge without Amway'!$C$26-'[3]recharge without Amway'!$D$26</f>
        <v>379.10250512328736</v>
      </c>
      <c r="S121" s="19">
        <f t="shared" si="71"/>
        <v>13265.255293559972</v>
      </c>
    </row>
    <row r="122" spans="1:21">
      <c r="A122" s="25" t="s">
        <v>20</v>
      </c>
      <c r="B122" s="27">
        <f t="shared" ref="B122:H122" si="72">SUM(B119:B121)</f>
        <v>5749.3377625409285</v>
      </c>
      <c r="C122" s="26">
        <f t="shared" si="72"/>
        <v>186.18561273775242</v>
      </c>
      <c r="D122" s="26">
        <f t="shared" si="72"/>
        <v>321.7626690205297</v>
      </c>
      <c r="E122" s="28">
        <f t="shared" si="72"/>
        <v>-120.65001601194822</v>
      </c>
      <c r="F122" s="26">
        <f t="shared" si="72"/>
        <v>0</v>
      </c>
      <c r="G122" s="26">
        <f t="shared" si="72"/>
        <v>705.26276976072973</v>
      </c>
      <c r="H122" s="28">
        <f t="shared" si="72"/>
        <v>371.59936558955974</v>
      </c>
      <c r="I122" s="29">
        <f>SUM(B122:H122)</f>
        <v>7213.4981636375514</v>
      </c>
      <c r="J122" s="37"/>
      <c r="K122" s="47" t="s">
        <v>20</v>
      </c>
      <c r="L122" s="27">
        <f t="shared" ref="L122:S122" si="73">SUM(L119:L121)</f>
        <v>42356.036308998577</v>
      </c>
      <c r="M122" s="26">
        <f t="shared" si="73"/>
        <v>1670.5448104232944</v>
      </c>
      <c r="N122" s="26">
        <f t="shared" si="73"/>
        <v>6748.2821046798899</v>
      </c>
      <c r="O122" s="28">
        <f t="shared" si="73"/>
        <v>662.62043225509933</v>
      </c>
      <c r="P122" s="27">
        <f t="shared" si="73"/>
        <v>0</v>
      </c>
      <c r="Q122" s="26">
        <f t="shared" si="73"/>
        <v>3816.2811913032019</v>
      </c>
      <c r="R122" s="28">
        <f t="shared" si="73"/>
        <v>1692.7673183862098</v>
      </c>
      <c r="S122" s="29">
        <f t="shared" si="73"/>
        <v>56946.532166046272</v>
      </c>
      <c r="U122" s="36"/>
    </row>
    <row r="125" spans="1:21">
      <c r="B125">
        <v>2598620.8739205939</v>
      </c>
      <c r="C125">
        <v>76142.380020671684</v>
      </c>
      <c r="D125">
        <v>21131.562508240677</v>
      </c>
      <c r="E125">
        <v>-94416.682678614903</v>
      </c>
      <c r="F125">
        <v>0</v>
      </c>
      <c r="G125">
        <v>342367.68841147114</v>
      </c>
      <c r="H125">
        <v>205518.14613368129</v>
      </c>
    </row>
    <row r="126" spans="1:21">
      <c r="B126">
        <v>2072854.9600853152</v>
      </c>
      <c r="C126">
        <v>76182.548092928468</v>
      </c>
      <c r="D126">
        <v>249939.0570517125</v>
      </c>
      <c r="E126">
        <v>4333.3333333333358</v>
      </c>
      <c r="F126">
        <v>0</v>
      </c>
      <c r="G126">
        <v>209409.21500680016</v>
      </c>
      <c r="H126">
        <v>104441.61095501814</v>
      </c>
    </row>
    <row r="127" spans="1:21">
      <c r="B127">
        <v>1077861.9285350195</v>
      </c>
      <c r="C127">
        <v>33860.684624152273</v>
      </c>
      <c r="D127">
        <v>50692.049460576527</v>
      </c>
      <c r="E127">
        <v>-30566.666666666664</v>
      </c>
      <c r="F127">
        <v>0</v>
      </c>
      <c r="G127">
        <v>153485.86634245841</v>
      </c>
      <c r="H127">
        <v>61639.608500860275</v>
      </c>
    </row>
    <row r="128" spans="1:21">
      <c r="B128">
        <v>5749337.7625409281</v>
      </c>
      <c r="C128">
        <v>186185.61273775241</v>
      </c>
      <c r="D128">
        <v>321762.66902052972</v>
      </c>
      <c r="E128">
        <v>-120650.01601194823</v>
      </c>
      <c r="F128">
        <v>0</v>
      </c>
      <c r="G128">
        <v>705262.76976072975</v>
      </c>
      <c r="H128">
        <v>371599.36558955972</v>
      </c>
    </row>
    <row r="131" spans="2:8">
      <c r="B131">
        <f>(ROUND(B125,2))*-1</f>
        <v>-2598620.87</v>
      </c>
      <c r="C131">
        <f>(ROUND(C125,2))*-1</f>
        <v>-76142.38</v>
      </c>
      <c r="D131">
        <f>(ROUND(D125,2))*-1</f>
        <v>-21131.56</v>
      </c>
      <c r="E131">
        <f>(ROUND(E125,2))*-1</f>
        <v>94416.68</v>
      </c>
      <c r="F131">
        <f>(ROUND(F125,2))*-1</f>
        <v>0</v>
      </c>
      <c r="G131">
        <f>(ROUND(G125,2))*-1</f>
        <v>-342367.69</v>
      </c>
      <c r="H131">
        <f>(ROUND(H125,2))*-1</f>
        <v>-205518.15</v>
      </c>
    </row>
    <row r="132" spans="2:8">
      <c r="B132">
        <f>(ROUND(B126,2))*-1</f>
        <v>-2072854.96</v>
      </c>
      <c r="C132">
        <f>(ROUND(C126,2))*-1</f>
        <v>-76182.55</v>
      </c>
      <c r="D132">
        <f>(ROUND(D126,2))*-1</f>
        <v>-249939.06</v>
      </c>
      <c r="E132">
        <f>(ROUND(E126,2))*-1</f>
        <v>-4333.33</v>
      </c>
      <c r="F132">
        <f>(ROUND(F126,2))*-1</f>
        <v>0</v>
      </c>
      <c r="G132">
        <f>(ROUND(G126,2))*-1</f>
        <v>-209409.22</v>
      </c>
      <c r="H132">
        <f>(ROUND(H126,2))*-1</f>
        <v>-104441.61</v>
      </c>
    </row>
    <row r="133" spans="2:8">
      <c r="B133">
        <f>(ROUND(B127,2))*-1</f>
        <v>-1077861.93</v>
      </c>
      <c r="C133">
        <f>(ROUND(C127,2))*-1</f>
        <v>-33860.68</v>
      </c>
      <c r="D133">
        <f>(ROUND(D127,2))*-1</f>
        <v>-50692.05</v>
      </c>
      <c r="E133">
        <f>(ROUND(E127,2))*-1</f>
        <v>30566.67</v>
      </c>
      <c r="F133">
        <f>(ROUND(F127,2))*-1</f>
        <v>0</v>
      </c>
      <c r="G133">
        <f>(ROUND(G127,2))*-1</f>
        <v>-153485.87</v>
      </c>
      <c r="H133">
        <f>(ROUND(H127,2))*-1</f>
        <v>-61639.61</v>
      </c>
    </row>
    <row r="134" spans="2:8">
      <c r="B134">
        <f>(ROUND(B128,2))*-1</f>
        <v>-5749337.7599999998</v>
      </c>
      <c r="C134">
        <f>(ROUND(C128,2))*-1</f>
        <v>-186185.61</v>
      </c>
      <c r="D134">
        <f>(ROUND(D128,2))*-1</f>
        <v>-321762.67</v>
      </c>
      <c r="E134">
        <f>(ROUND(E128,2))*-1</f>
        <v>120650.02</v>
      </c>
      <c r="F134">
        <f>(ROUND(F128,2))*-1</f>
        <v>0</v>
      </c>
      <c r="G134">
        <f>(ROUND(G128,2))*-1</f>
        <v>-705262.77</v>
      </c>
      <c r="H134">
        <f>(ROUND(H128,2))*-1</f>
        <v>-371599.37</v>
      </c>
    </row>
  </sheetData>
  <mergeCells count="76">
    <mergeCell ref="L109:O109"/>
    <mergeCell ref="P109:R109"/>
    <mergeCell ref="S109:S110"/>
    <mergeCell ref="A109:A110"/>
    <mergeCell ref="B109:E109"/>
    <mergeCell ref="F109:H109"/>
    <mergeCell ref="I109:I110"/>
    <mergeCell ref="K109:K110"/>
    <mergeCell ref="L76:O76"/>
    <mergeCell ref="P76:R76"/>
    <mergeCell ref="S76:S77"/>
    <mergeCell ref="A61:A62"/>
    <mergeCell ref="B61:E61"/>
    <mergeCell ref="F61:H61"/>
    <mergeCell ref="I61:I62"/>
    <mergeCell ref="K61:K62"/>
    <mergeCell ref="L61:O61"/>
    <mergeCell ref="A76:A77"/>
    <mergeCell ref="B76:E76"/>
    <mergeCell ref="F76:H76"/>
    <mergeCell ref="I76:I77"/>
    <mergeCell ref="K76:K77"/>
    <mergeCell ref="L45:O45"/>
    <mergeCell ref="P45:R45"/>
    <mergeCell ref="S45:S46"/>
    <mergeCell ref="P61:R61"/>
    <mergeCell ref="S61:S62"/>
    <mergeCell ref="A45:A46"/>
    <mergeCell ref="B45:E45"/>
    <mergeCell ref="F45:H45"/>
    <mergeCell ref="I45:I46"/>
    <mergeCell ref="K45:K46"/>
    <mergeCell ref="K16:K17"/>
    <mergeCell ref="L16:O16"/>
    <mergeCell ref="P16:R16"/>
    <mergeCell ref="S16:S17"/>
    <mergeCell ref="A31:A32"/>
    <mergeCell ref="B31:E31"/>
    <mergeCell ref="F31:H31"/>
    <mergeCell ref="I31:I32"/>
    <mergeCell ref="K31:K32"/>
    <mergeCell ref="L31:O31"/>
    <mergeCell ref="P31:R31"/>
    <mergeCell ref="S31:S32"/>
    <mergeCell ref="A2:A3"/>
    <mergeCell ref="B2:E2"/>
    <mergeCell ref="F2:H2"/>
    <mergeCell ref="I2:I3"/>
    <mergeCell ref="A16:A17"/>
    <mergeCell ref="B16:E16"/>
    <mergeCell ref="F16:H16"/>
    <mergeCell ref="I16:I17"/>
    <mergeCell ref="L91:O91"/>
    <mergeCell ref="P91:R91"/>
    <mergeCell ref="S91:S92"/>
    <mergeCell ref="A91:A92"/>
    <mergeCell ref="B91:E91"/>
    <mergeCell ref="F91:H91"/>
    <mergeCell ref="I91:I92"/>
    <mergeCell ref="K91:K92"/>
    <mergeCell ref="L99:O99"/>
    <mergeCell ref="P99:R99"/>
    <mergeCell ref="S99:S100"/>
    <mergeCell ref="A99:A100"/>
    <mergeCell ref="B99:E99"/>
    <mergeCell ref="F99:H99"/>
    <mergeCell ref="I99:I100"/>
    <mergeCell ref="K99:K100"/>
    <mergeCell ref="L117:O117"/>
    <mergeCell ref="P117:R117"/>
    <mergeCell ref="S117:S118"/>
    <mergeCell ref="A117:A118"/>
    <mergeCell ref="B117:E117"/>
    <mergeCell ref="F117:H117"/>
    <mergeCell ref="I117:I118"/>
    <mergeCell ref="K117:K118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Company>Aegis 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Carrie Hu</dc:creator>
  <cp:lastModifiedBy>Qian, Tingling</cp:lastModifiedBy>
  <dcterms:created xsi:type="dcterms:W3CDTF">2015-06-30T07:41:29Z</dcterms:created>
  <dcterms:modified xsi:type="dcterms:W3CDTF">2015-10-27T09:42:07Z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-1455606102</vt:i4>
  </property>
  <property fmtid="{D5CDD505-2E9C-101B-9397-08002B2CF9AE}" pid="3" name="_NewReviewCycle">
    <vt:lpwstr/>
  </property>
  <property fmtid="{D5CDD505-2E9C-101B-9397-08002B2CF9AE}" pid="4" name="_EmailSubject">
    <vt:lpwstr>P10 trading recharge</vt:lpwstr>
  </property>
  <property fmtid="{D5CDD505-2E9C-101B-9397-08002B2CF9AE}" pid="5" name="_AuthorEmail">
    <vt:lpwstr>Carrie.Hu@dentsuaegis.com</vt:lpwstr>
  </property>
  <property fmtid="{D5CDD505-2E9C-101B-9397-08002B2CF9AE}" pid="6" name="_AuthorEmailDisplayName">
    <vt:lpwstr>Carrie Hu</vt:lpwstr>
  </property>
  <property fmtid="{D5CDD505-2E9C-101B-9397-08002B2CF9AE}" pid="7" name="_PreviousAdHocReviewCycleID">
    <vt:i4>2034962895</vt:i4>
  </property>
  <property fmtid="{D5CDD505-2E9C-101B-9397-08002B2CF9AE}" pid="8" name="_ReviewingToolsShownOnce">
    <vt:lpwstr/>
  </property>
</Properties>
</file>